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bhintch\HFMA\HFMA Publications and Digital Content Team - Documents\Revenue Cycle Forum\2018\10-October\Final\"/>
    </mc:Choice>
  </mc:AlternateContent>
  <xr:revisionPtr revIDLastSave="47" documentId="8_{8ED07044-FB99-4096-9BD5-0E68E1318C65}" xr6:coauthVersionLast="36" xr6:coauthVersionMax="36" xr10:uidLastSave="{DF5639F0-EB6B-43D5-9A8B-34D531C11AA5}"/>
  <bookViews>
    <workbookView xWindow="0" yWindow="0" windowWidth="28800" windowHeight="12230" xr2:uid="{00000000-000D-0000-FFFF-FFFF00000000}"/>
  </bookViews>
  <sheets>
    <sheet name="Sheet1" sheetId="1" r:id="rId1"/>
  </sheets>
  <calcPr calcId="17902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W39" i="1" l="1"/>
  <c r="IX38" i="1" s="1"/>
  <c r="IX36" i="1"/>
  <c r="IX35" i="1"/>
  <c r="IX33" i="1"/>
  <c r="ACQ31" i="1"/>
  <c r="ACL31" i="1"/>
  <c r="ACK31" i="1"/>
  <c r="ACJ31" i="1"/>
  <c r="ACI31" i="1"/>
  <c r="ACH31" i="1"/>
  <c r="ACG31" i="1"/>
  <c r="ACF31" i="1"/>
  <c r="ACE31" i="1"/>
  <c r="ACD31" i="1"/>
  <c r="ACB31" i="1"/>
  <c r="ACA31" i="1"/>
  <c r="ABZ31" i="1"/>
  <c r="ABY31" i="1"/>
  <c r="ABX31" i="1"/>
  <c r="ABW31" i="1"/>
  <c r="ABV31" i="1"/>
  <c r="ABU31" i="1"/>
  <c r="ABT31" i="1"/>
  <c r="ABR31" i="1"/>
  <c r="ABQ31" i="1"/>
  <c r="ABP31" i="1"/>
  <c r="ABO31" i="1"/>
  <c r="ABN31" i="1"/>
  <c r="ABM31" i="1"/>
  <c r="ABL31" i="1"/>
  <c r="ABK31" i="1"/>
  <c r="ABJ31" i="1"/>
  <c r="ABH31" i="1"/>
  <c r="ABG31" i="1"/>
  <c r="ABF31" i="1"/>
  <c r="ABE31" i="1"/>
  <c r="ABD31" i="1"/>
  <c r="ABC31" i="1"/>
  <c r="ABB31" i="1"/>
  <c r="ABA31" i="1"/>
  <c r="AAZ31" i="1"/>
  <c r="AAW31" i="1"/>
  <c r="AAV31" i="1"/>
  <c r="AAU31" i="1"/>
  <c r="AAT31" i="1"/>
  <c r="AAS31" i="1"/>
  <c r="AAR31" i="1"/>
  <c r="AAQ31" i="1"/>
  <c r="AAP31" i="1"/>
  <c r="AAO31" i="1"/>
  <c r="AAL31" i="1"/>
  <c r="AAI31" i="1"/>
  <c r="AAH31" i="1"/>
  <c r="AAG31" i="1"/>
  <c r="AAF31" i="1"/>
  <c r="AAE31" i="1"/>
  <c r="AAD31" i="1"/>
  <c r="AAC31" i="1"/>
  <c r="AAB31" i="1"/>
  <c r="AAA31" i="1"/>
  <c r="ZY31" i="1"/>
  <c r="ZX31" i="1"/>
  <c r="ZW31" i="1"/>
  <c r="ZV31" i="1"/>
  <c r="ZU31" i="1"/>
  <c r="ZT31" i="1"/>
  <c r="ZS31" i="1"/>
  <c r="ZR31" i="1"/>
  <c r="ZQ31" i="1"/>
  <c r="ZO31" i="1"/>
  <c r="ZN31" i="1"/>
  <c r="ZM31" i="1"/>
  <c r="ZL31" i="1"/>
  <c r="ZK31" i="1"/>
  <c r="ZJ31" i="1"/>
  <c r="ZI31" i="1"/>
  <c r="ZH31" i="1"/>
  <c r="ZG31" i="1"/>
  <c r="ZE31" i="1"/>
  <c r="ZD31" i="1"/>
  <c r="ZC31" i="1"/>
  <c r="ZB31" i="1"/>
  <c r="ZA31" i="1"/>
  <c r="YZ31" i="1"/>
  <c r="YY31" i="1"/>
  <c r="YX31" i="1"/>
  <c r="YW31" i="1"/>
  <c r="YU31" i="1"/>
  <c r="YT31" i="1"/>
  <c r="YS31" i="1"/>
  <c r="YR31" i="1"/>
  <c r="YQ31" i="1"/>
  <c r="YP31" i="1"/>
  <c r="YO31" i="1"/>
  <c r="YN31" i="1"/>
  <c r="YM31" i="1"/>
  <c r="YJ31" i="1"/>
  <c r="YF31" i="1"/>
  <c r="YE31" i="1"/>
  <c r="YD31" i="1"/>
  <c r="YC31" i="1"/>
  <c r="YB31" i="1"/>
  <c r="YA31" i="1"/>
  <c r="XZ31" i="1"/>
  <c r="XY31" i="1"/>
  <c r="XX31" i="1"/>
  <c r="XV31" i="1"/>
  <c r="XU31" i="1"/>
  <c r="XT31" i="1"/>
  <c r="XS31" i="1"/>
  <c r="XR31" i="1"/>
  <c r="XQ31" i="1"/>
  <c r="XP31" i="1"/>
  <c r="XO31" i="1"/>
  <c r="XN31" i="1"/>
  <c r="XL31" i="1"/>
  <c r="XK31" i="1"/>
  <c r="XJ31" i="1"/>
  <c r="XI31" i="1"/>
  <c r="XH31" i="1"/>
  <c r="XG31" i="1"/>
  <c r="XF31" i="1"/>
  <c r="XE31" i="1"/>
  <c r="XD31" i="1"/>
  <c r="XB31" i="1"/>
  <c r="XA31" i="1"/>
  <c r="WZ31" i="1"/>
  <c r="WY31" i="1"/>
  <c r="WX31" i="1"/>
  <c r="WW31" i="1"/>
  <c r="WV31" i="1"/>
  <c r="WU31" i="1"/>
  <c r="WT31" i="1"/>
  <c r="WR31" i="1"/>
  <c r="WQ31" i="1"/>
  <c r="WP31" i="1"/>
  <c r="WO31" i="1"/>
  <c r="WN31" i="1"/>
  <c r="WM31" i="1"/>
  <c r="WL31" i="1"/>
  <c r="WK31" i="1"/>
  <c r="WJ31" i="1"/>
  <c r="WF31" i="1"/>
  <c r="WB31" i="1"/>
  <c r="WA31" i="1"/>
  <c r="VZ31" i="1"/>
  <c r="VY31" i="1"/>
  <c r="VX31" i="1"/>
  <c r="VW31" i="1"/>
  <c r="VV31" i="1"/>
  <c r="VU31" i="1"/>
  <c r="VT31" i="1"/>
  <c r="VR31" i="1"/>
  <c r="VQ31" i="1"/>
  <c r="VP31" i="1"/>
  <c r="VO31" i="1"/>
  <c r="VN31" i="1"/>
  <c r="VM31" i="1"/>
  <c r="VL31" i="1"/>
  <c r="VK31" i="1"/>
  <c r="VJ31" i="1"/>
  <c r="VH31" i="1"/>
  <c r="VG31" i="1"/>
  <c r="VF31" i="1"/>
  <c r="VE31" i="1"/>
  <c r="VD31" i="1"/>
  <c r="VC31" i="1"/>
  <c r="VB31" i="1"/>
  <c r="VA31" i="1"/>
  <c r="UZ31" i="1"/>
  <c r="UX31" i="1"/>
  <c r="UW31" i="1"/>
  <c r="UV31" i="1"/>
  <c r="UU31" i="1"/>
  <c r="UT31" i="1"/>
  <c r="US31" i="1"/>
  <c r="UR31" i="1"/>
  <c r="UQ31" i="1"/>
  <c r="UP31" i="1"/>
  <c r="UN31" i="1"/>
  <c r="UM31" i="1"/>
  <c r="UL31" i="1"/>
  <c r="UK31" i="1"/>
  <c r="UJ31" i="1"/>
  <c r="UI31" i="1"/>
  <c r="UH31" i="1"/>
  <c r="UG31" i="1"/>
  <c r="UF31" i="1"/>
  <c r="TX31" i="1"/>
  <c r="TW31" i="1"/>
  <c r="TV31" i="1"/>
  <c r="TU31" i="1"/>
  <c r="TT31" i="1"/>
  <c r="TS31" i="1"/>
  <c r="TR31" i="1"/>
  <c r="TQ31" i="1"/>
  <c r="TP31" i="1"/>
  <c r="TN31" i="1"/>
  <c r="TM31" i="1"/>
  <c r="TL31" i="1"/>
  <c r="TK31" i="1"/>
  <c r="TJ31" i="1"/>
  <c r="TI31" i="1"/>
  <c r="TH31" i="1"/>
  <c r="TG31" i="1"/>
  <c r="TF31" i="1"/>
  <c r="TD31" i="1"/>
  <c r="TC31" i="1"/>
  <c r="TB31" i="1"/>
  <c r="TA31" i="1"/>
  <c r="SZ31" i="1"/>
  <c r="SY31" i="1"/>
  <c r="SX31" i="1"/>
  <c r="SW31" i="1"/>
  <c r="SV31" i="1"/>
  <c r="ST31" i="1"/>
  <c r="SS31" i="1"/>
  <c r="SR31" i="1"/>
  <c r="SQ31" i="1"/>
  <c r="SP31" i="1"/>
  <c r="SO31" i="1"/>
  <c r="SN31" i="1"/>
  <c r="SM31" i="1"/>
  <c r="SL31" i="1"/>
  <c r="SJ31" i="1"/>
  <c r="SI31" i="1"/>
  <c r="SH31" i="1"/>
  <c r="SG31" i="1"/>
  <c r="SF31" i="1"/>
  <c r="SE31" i="1"/>
  <c r="SD31" i="1"/>
  <c r="SC31" i="1"/>
  <c r="SB31" i="1"/>
  <c r="RN31" i="1"/>
  <c r="RM31" i="1"/>
  <c r="RL31" i="1"/>
  <c r="RK31" i="1"/>
  <c r="RJ31" i="1"/>
  <c r="RI31" i="1"/>
  <c r="RH31" i="1"/>
  <c r="RG31" i="1"/>
  <c r="RF31" i="1"/>
  <c r="RD31" i="1"/>
  <c r="RC31" i="1"/>
  <c r="RB31" i="1"/>
  <c r="RA31" i="1"/>
  <c r="QZ31" i="1"/>
  <c r="QY31" i="1"/>
  <c r="QX31" i="1"/>
  <c r="QW31" i="1"/>
  <c r="QV31" i="1"/>
  <c r="QT31" i="1"/>
  <c r="QS31" i="1"/>
  <c r="QR31" i="1"/>
  <c r="QQ31" i="1"/>
  <c r="QP31" i="1"/>
  <c r="QO31" i="1"/>
  <c r="QN31" i="1"/>
  <c r="QM31" i="1"/>
  <c r="QL31" i="1"/>
  <c r="QJ31" i="1"/>
  <c r="QI31" i="1"/>
  <c r="QH31" i="1"/>
  <c r="QG31" i="1"/>
  <c r="QF31" i="1"/>
  <c r="QE31" i="1"/>
  <c r="QD31" i="1"/>
  <c r="QC31" i="1"/>
  <c r="QB31" i="1"/>
  <c r="PZ31" i="1"/>
  <c r="PY31" i="1"/>
  <c r="PX31" i="1"/>
  <c r="PW31" i="1"/>
  <c r="PV31" i="1"/>
  <c r="PU31" i="1"/>
  <c r="PT31" i="1"/>
  <c r="PS31" i="1"/>
  <c r="PR31" i="1"/>
  <c r="PI31" i="1"/>
  <c r="PH31" i="1"/>
  <c r="PG31" i="1"/>
  <c r="PF31" i="1"/>
  <c r="PE31" i="1"/>
  <c r="PD31" i="1"/>
  <c r="PC31" i="1"/>
  <c r="PB31" i="1"/>
  <c r="PA31" i="1"/>
  <c r="OY31" i="1"/>
  <c r="OX31" i="1"/>
  <c r="OW31" i="1"/>
  <c r="OV31" i="1"/>
  <c r="OU31" i="1"/>
  <c r="OT31" i="1"/>
  <c r="OS31" i="1"/>
  <c r="OR31" i="1"/>
  <c r="OQ31" i="1"/>
  <c r="OO31" i="1"/>
  <c r="ON31" i="1"/>
  <c r="OM31" i="1"/>
  <c r="OL31" i="1"/>
  <c r="OK31" i="1"/>
  <c r="OJ31" i="1"/>
  <c r="OI31" i="1"/>
  <c r="OH31" i="1"/>
  <c r="OG31" i="1"/>
  <c r="OE31" i="1"/>
  <c r="OD31" i="1"/>
  <c r="OC31" i="1"/>
  <c r="OB31" i="1"/>
  <c r="OA31" i="1"/>
  <c r="NZ31" i="1"/>
  <c r="NY31" i="1"/>
  <c r="NX31" i="1"/>
  <c r="NW31" i="1"/>
  <c r="NU31" i="1"/>
  <c r="NT31" i="1"/>
  <c r="NS31" i="1"/>
  <c r="NR31" i="1"/>
  <c r="NQ31" i="1"/>
  <c r="NP31" i="1"/>
  <c r="NN31" i="1"/>
  <c r="NM31" i="1"/>
  <c r="ND31" i="1"/>
  <c r="NC31" i="1"/>
  <c r="NB31" i="1"/>
  <c r="NA31" i="1"/>
  <c r="MZ31" i="1"/>
  <c r="MY31" i="1"/>
  <c r="MX31" i="1"/>
  <c r="MW31" i="1"/>
  <c r="MV31" i="1"/>
  <c r="MT31" i="1"/>
  <c r="MS31" i="1"/>
  <c r="MR31" i="1"/>
  <c r="MQ31" i="1"/>
  <c r="MP31" i="1"/>
  <c r="MO31" i="1"/>
  <c r="MN31" i="1"/>
  <c r="MM31" i="1"/>
  <c r="ML31" i="1"/>
  <c r="MJ31" i="1"/>
  <c r="MI31" i="1"/>
  <c r="MH31" i="1"/>
  <c r="MG31" i="1"/>
  <c r="MF31" i="1"/>
  <c r="ME31" i="1"/>
  <c r="MD31" i="1"/>
  <c r="MC31" i="1"/>
  <c r="MB31" i="1"/>
  <c r="LZ31" i="1"/>
  <c r="LY31" i="1"/>
  <c r="LX31" i="1"/>
  <c r="LW31" i="1"/>
  <c r="LV31" i="1"/>
  <c r="LU31" i="1"/>
  <c r="LT31" i="1"/>
  <c r="LS31" i="1"/>
  <c r="LR31" i="1"/>
  <c r="LP31" i="1"/>
  <c r="LO31" i="1"/>
  <c r="LN31" i="1"/>
  <c r="LM31" i="1"/>
  <c r="LL31" i="1"/>
  <c r="LK31" i="1"/>
  <c r="LJ31" i="1"/>
  <c r="LI31" i="1"/>
  <c r="LH31" i="1"/>
  <c r="KY31" i="1"/>
  <c r="KX31" i="1"/>
  <c r="KW31" i="1"/>
  <c r="KV31" i="1"/>
  <c r="KU31" i="1"/>
  <c r="KT31" i="1"/>
  <c r="KS31" i="1"/>
  <c r="KR31" i="1"/>
  <c r="KQ31" i="1"/>
  <c r="KO31" i="1"/>
  <c r="KN31" i="1"/>
  <c r="KM31" i="1"/>
  <c r="KL31" i="1"/>
  <c r="KK31" i="1"/>
  <c r="KJ31" i="1"/>
  <c r="KI31" i="1"/>
  <c r="KH31" i="1"/>
  <c r="KG31" i="1"/>
  <c r="KE31" i="1"/>
  <c r="KD31" i="1"/>
  <c r="KC31" i="1"/>
  <c r="KB31" i="1"/>
  <c r="KA31" i="1"/>
  <c r="JZ31" i="1"/>
  <c r="JY31" i="1"/>
  <c r="JX31" i="1"/>
  <c r="JW31" i="1"/>
  <c r="JU31" i="1"/>
  <c r="JT31" i="1"/>
  <c r="JS31" i="1"/>
  <c r="JR31" i="1"/>
  <c r="JQ31" i="1"/>
  <c r="JP31" i="1"/>
  <c r="JO31" i="1"/>
  <c r="JN31" i="1"/>
  <c r="JM31" i="1"/>
  <c r="JK31" i="1"/>
  <c r="JJ31" i="1"/>
  <c r="JI31" i="1"/>
  <c r="JH31" i="1"/>
  <c r="JG31" i="1"/>
  <c r="JF31" i="1"/>
  <c r="JE31" i="1"/>
  <c r="JD31" i="1"/>
  <c r="JC31" i="1"/>
  <c r="IT31" i="1"/>
  <c r="IS31" i="1"/>
  <c r="IR31" i="1"/>
  <c r="IM31" i="1"/>
  <c r="IL31" i="1"/>
  <c r="IK31" i="1"/>
  <c r="IJ31" i="1"/>
  <c r="II31" i="1"/>
  <c r="IH31" i="1"/>
  <c r="IC31" i="1"/>
  <c r="IB31" i="1"/>
  <c r="IA31" i="1"/>
  <c r="HZ31" i="1"/>
  <c r="HY31" i="1"/>
  <c r="HX31" i="1"/>
  <c r="HV31" i="1"/>
  <c r="HU31" i="1"/>
  <c r="HT31" i="1"/>
  <c r="HS31" i="1"/>
  <c r="HR31" i="1"/>
  <c r="HQ31" i="1"/>
  <c r="HP31" i="1"/>
  <c r="HO31" i="1"/>
  <c r="HN31" i="1"/>
  <c r="GR31" i="1"/>
  <c r="GN31" i="1"/>
  <c r="GM31" i="1"/>
  <c r="GL31" i="1"/>
  <c r="GJ31" i="1"/>
  <c r="GH31" i="1"/>
  <c r="GG31" i="1"/>
  <c r="GE31" i="1"/>
  <c r="GD31" i="1"/>
  <c r="GC31" i="1"/>
  <c r="GB31" i="1"/>
  <c r="GA31" i="1"/>
  <c r="FZ31" i="1"/>
  <c r="FY31" i="1"/>
  <c r="FX31" i="1"/>
  <c r="FV31" i="1"/>
  <c r="FU31" i="1"/>
  <c r="FT31" i="1"/>
  <c r="FS31" i="1"/>
  <c r="FR31" i="1"/>
  <c r="FQ31" i="1"/>
  <c r="FP31" i="1"/>
  <c r="FO31" i="1"/>
  <c r="FM31" i="1"/>
  <c r="FL31" i="1"/>
  <c r="FK31" i="1"/>
  <c r="FJ31" i="1"/>
  <c r="FI31" i="1"/>
  <c r="FH31" i="1"/>
  <c r="FG31" i="1"/>
  <c r="FF31" i="1"/>
  <c r="FD31" i="1"/>
  <c r="FC31" i="1"/>
  <c r="FB31" i="1"/>
  <c r="FA31" i="1"/>
  <c r="EZ31" i="1"/>
  <c r="EY31" i="1"/>
  <c r="EX31" i="1"/>
  <c r="EW31" i="1"/>
  <c r="ET31" i="1"/>
  <c r="EP31" i="1"/>
  <c r="EO31" i="1"/>
  <c r="EN31" i="1"/>
  <c r="EM31" i="1"/>
  <c r="EL31" i="1"/>
  <c r="EK31" i="1"/>
  <c r="EJ31" i="1"/>
  <c r="EI31" i="1"/>
  <c r="EG31" i="1"/>
  <c r="EF31" i="1"/>
  <c r="EC31" i="1"/>
  <c r="EA31" i="1"/>
  <c r="DZ31" i="1"/>
  <c r="DX31" i="1"/>
  <c r="DW31" i="1"/>
  <c r="DV31" i="1"/>
  <c r="DS31" i="1"/>
  <c r="DR31" i="1"/>
  <c r="DQ31" i="1"/>
  <c r="DO31" i="1"/>
  <c r="DN31" i="1"/>
  <c r="DK31" i="1"/>
  <c r="DJ31" i="1"/>
  <c r="DI31" i="1"/>
  <c r="DH31" i="1"/>
  <c r="DF31" i="1"/>
  <c r="DE31" i="1"/>
  <c r="DB31" i="1"/>
  <c r="DA31" i="1"/>
  <c r="CZ31" i="1"/>
  <c r="CV31" i="1"/>
  <c r="CT31" i="1"/>
  <c r="CR31" i="1"/>
  <c r="CQ31" i="1"/>
  <c r="CM31" i="1"/>
  <c r="CL31" i="1"/>
  <c r="CI31" i="1"/>
  <c r="CH31" i="1"/>
  <c r="CE31" i="1"/>
  <c r="CB31" i="1"/>
  <c r="BZ31" i="1"/>
  <c r="BY31" i="1"/>
  <c r="BT31" i="1"/>
  <c r="BS31" i="1"/>
  <c r="BQ31" i="1"/>
  <c r="BP31" i="1"/>
  <c r="BK31" i="1"/>
  <c r="BJ31" i="1"/>
  <c r="BH31" i="1"/>
  <c r="BG31" i="1"/>
  <c r="BC31" i="1"/>
  <c r="BB31" i="1"/>
  <c r="AX31" i="1"/>
  <c r="AV31" i="1"/>
  <c r="AT31" i="1"/>
  <c r="AS31" i="1"/>
  <c r="AP31" i="1"/>
  <c r="AN31" i="1"/>
  <c r="AK31" i="1"/>
  <c r="AJ31" i="1"/>
  <c r="AG31" i="1"/>
  <c r="AE31" i="1"/>
  <c r="AD31" i="1"/>
  <c r="AB31" i="1"/>
  <c r="AA31" i="1"/>
  <c r="Z31" i="1"/>
  <c r="Y31" i="1"/>
  <c r="X31" i="1"/>
  <c r="W31" i="1"/>
  <c r="V31" i="1"/>
  <c r="U31" i="1"/>
  <c r="S31" i="1"/>
  <c r="R31" i="1"/>
  <c r="O31" i="1"/>
  <c r="J31" i="1"/>
  <c r="I31" i="1"/>
  <c r="H31" i="1"/>
  <c r="G31" i="1"/>
  <c r="F31" i="1"/>
  <c r="E31" i="1"/>
  <c r="D31" i="1"/>
  <c r="C31" i="1"/>
  <c r="ACW30" i="1"/>
  <c r="ACT30" i="1"/>
  <c r="ACN30" i="1"/>
  <c r="ACM30" i="1"/>
  <c r="ACC30" i="1"/>
  <c r="ABS30" i="1"/>
  <c r="ABI30" i="1"/>
  <c r="AAY30" i="1"/>
  <c r="AAJ30" i="1"/>
  <c r="ZZ30" i="1"/>
  <c r="ZP30" i="1"/>
  <c r="ZF30" i="1"/>
  <c r="YV30" i="1"/>
  <c r="YH30" i="1"/>
  <c r="YG30" i="1"/>
  <c r="XW30" i="1"/>
  <c r="XM30" i="1"/>
  <c r="XC30" i="1"/>
  <c r="WS30" i="1"/>
  <c r="WD30" i="1"/>
  <c r="WC30" i="1"/>
  <c r="VS30" i="1"/>
  <c r="VI30" i="1"/>
  <c r="UY30" i="1"/>
  <c r="UO30" i="1"/>
  <c r="TZ30" i="1"/>
  <c r="TY30" i="1"/>
  <c r="TO30" i="1"/>
  <c r="TE30" i="1"/>
  <c r="SU30" i="1"/>
  <c r="SK30" i="1"/>
  <c r="RW30" i="1"/>
  <c r="IY30" i="1"/>
  <c r="IW30" i="1"/>
  <c r="IQ30" i="1"/>
  <c r="IG30" i="1"/>
  <c r="HW30" i="1"/>
  <c r="HM30" i="1"/>
  <c r="HC30" i="1"/>
  <c r="GO30" i="1"/>
  <c r="GF30" i="1"/>
  <c r="FW30" i="1"/>
  <c r="FN30" i="1"/>
  <c r="FE30" i="1"/>
  <c r="GQ30" i="1" s="1"/>
  <c r="EQ30" i="1"/>
  <c r="EH30" i="1"/>
  <c r="DY30" i="1"/>
  <c r="DP30" i="1"/>
  <c r="DG30" i="1"/>
  <c r="CS30" i="1"/>
  <c r="BR30" i="1"/>
  <c r="BI30" i="1"/>
  <c r="AU30" i="1"/>
  <c r="AL30" i="1"/>
  <c r="AC30" i="1"/>
  <c r="T30" i="1"/>
  <c r="K30" i="1"/>
  <c r="ACT29" i="1"/>
  <c r="ACN29" i="1"/>
  <c r="ACM29" i="1"/>
  <c r="ACC29" i="1"/>
  <c r="ABS29" i="1"/>
  <c r="ABI29" i="1"/>
  <c r="AAY29" i="1"/>
  <c r="AAJ29" i="1"/>
  <c r="ZZ29" i="1"/>
  <c r="ZP29" i="1"/>
  <c r="ZF29" i="1"/>
  <c r="AAK29" i="1" s="1"/>
  <c r="AAM29" i="1" s="1"/>
  <c r="YV29" i="1"/>
  <c r="YH29" i="1"/>
  <c r="YG29" i="1"/>
  <c r="XW29" i="1"/>
  <c r="XM29" i="1"/>
  <c r="XC29" i="1"/>
  <c r="WS29" i="1"/>
  <c r="WD29" i="1"/>
  <c r="WC29" i="1"/>
  <c r="VS29" i="1"/>
  <c r="VI29" i="1"/>
  <c r="UY29" i="1"/>
  <c r="WE29" i="1" s="1"/>
  <c r="WG29" i="1" s="1"/>
  <c r="UO29" i="1"/>
  <c r="TZ29" i="1"/>
  <c r="TY29" i="1"/>
  <c r="TO29" i="1"/>
  <c r="TE29" i="1"/>
  <c r="SU29" i="1"/>
  <c r="SK29" i="1"/>
  <c r="RX29" i="1"/>
  <c r="RP29" i="1"/>
  <c r="RO29" i="1"/>
  <c r="RE29" i="1"/>
  <c r="QU29" i="1"/>
  <c r="RQ29" i="1" s="1"/>
  <c r="QK29" i="1"/>
  <c r="QA29" i="1"/>
  <c r="PK29" i="1"/>
  <c r="PJ29" i="1"/>
  <c r="OZ29" i="1"/>
  <c r="OP29" i="1"/>
  <c r="OF29" i="1"/>
  <c r="NV29" i="1"/>
  <c r="NF29" i="1"/>
  <c r="NE29" i="1"/>
  <c r="MU29" i="1"/>
  <c r="MK29" i="1"/>
  <c r="MA29" i="1"/>
  <c r="LQ29" i="1"/>
  <c r="LA29" i="1"/>
  <c r="KZ29" i="1"/>
  <c r="KP29" i="1"/>
  <c r="KF29" i="1"/>
  <c r="JV29" i="1"/>
  <c r="JL29" i="1"/>
  <c r="IY29" i="1"/>
  <c r="IW29" i="1"/>
  <c r="IQ29" i="1"/>
  <c r="IG29" i="1"/>
  <c r="HW29" i="1"/>
  <c r="HM29" i="1"/>
  <c r="HC29" i="1"/>
  <c r="GO29" i="1"/>
  <c r="GF29" i="1"/>
  <c r="FW29" i="1"/>
  <c r="FN29" i="1"/>
  <c r="FE29" i="1"/>
  <c r="EQ29" i="1"/>
  <c r="EH29" i="1"/>
  <c r="DU29" i="1"/>
  <c r="DY29" i="1" s="1"/>
  <c r="DP29" i="1"/>
  <c r="DL29" i="1"/>
  <c r="DG29" i="1"/>
  <c r="CS29" i="1"/>
  <c r="CJ29" i="1"/>
  <c r="CA29" i="1"/>
  <c r="BR29" i="1"/>
  <c r="BI29" i="1"/>
  <c r="AU29" i="1"/>
  <c r="AH29" i="1"/>
  <c r="AL29" i="1" s="1"/>
  <c r="AC29" i="1"/>
  <c r="T29" i="1"/>
  <c r="K29" i="1"/>
  <c r="ACT28" i="1"/>
  <c r="ACN28" i="1"/>
  <c r="ACM28" i="1"/>
  <c r="ACC28" i="1"/>
  <c r="ABS28" i="1"/>
  <c r="ABI28" i="1"/>
  <c r="AAY28" i="1"/>
  <c r="AAJ28" i="1"/>
  <c r="ZZ28" i="1"/>
  <c r="ZP28" i="1"/>
  <c r="ZF28" i="1"/>
  <c r="YV28" i="1"/>
  <c r="YH28" i="1"/>
  <c r="YG28" i="1"/>
  <c r="XW28" i="1"/>
  <c r="XM28" i="1"/>
  <c r="XC28" i="1"/>
  <c r="WS28" i="1"/>
  <c r="WD28" i="1"/>
  <c r="WC28" i="1"/>
  <c r="VS28" i="1"/>
  <c r="VI28" i="1"/>
  <c r="UY28" i="1"/>
  <c r="UO28" i="1"/>
  <c r="TZ28" i="1"/>
  <c r="TY28" i="1"/>
  <c r="TO28" i="1"/>
  <c r="TE28" i="1"/>
  <c r="SU28" i="1"/>
  <c r="SK28" i="1"/>
  <c r="RX28" i="1"/>
  <c r="RP28" i="1"/>
  <c r="RO28" i="1"/>
  <c r="RE28" i="1"/>
  <c r="QU28" i="1"/>
  <c r="QK28" i="1"/>
  <c r="QA28" i="1"/>
  <c r="PK28" i="1"/>
  <c r="PJ28" i="1"/>
  <c r="OZ28" i="1"/>
  <c r="OP28" i="1"/>
  <c r="OF28" i="1"/>
  <c r="NV28" i="1"/>
  <c r="NF28" i="1"/>
  <c r="NE28" i="1"/>
  <c r="MU28" i="1"/>
  <c r="MK28" i="1"/>
  <c r="MA28" i="1"/>
  <c r="LQ28" i="1"/>
  <c r="LA28" i="1"/>
  <c r="KZ28" i="1"/>
  <c r="KP28" i="1"/>
  <c r="KF28" i="1"/>
  <c r="JV28" i="1"/>
  <c r="JL28" i="1"/>
  <c r="IY28" i="1"/>
  <c r="IW28" i="1"/>
  <c r="IQ28" i="1"/>
  <c r="IG28" i="1"/>
  <c r="HW28" i="1"/>
  <c r="HM28" i="1"/>
  <c r="HC28" i="1"/>
  <c r="GO28" i="1"/>
  <c r="GF28" i="1"/>
  <c r="FW28" i="1"/>
  <c r="FN28" i="1"/>
  <c r="FE28" i="1"/>
  <c r="EQ28" i="1"/>
  <c r="EH28" i="1"/>
  <c r="DY28" i="1"/>
  <c r="DP28" i="1"/>
  <c r="DG28" i="1"/>
  <c r="CS28" i="1"/>
  <c r="CJ28" i="1"/>
  <c r="CA28" i="1"/>
  <c r="BR28" i="1"/>
  <c r="BI28" i="1"/>
  <c r="AU28" i="1"/>
  <c r="AL28" i="1"/>
  <c r="AC28" i="1"/>
  <c r="T28" i="1"/>
  <c r="K28" i="1"/>
  <c r="ACT27" i="1"/>
  <c r="ACN27" i="1"/>
  <c r="ACM27" i="1"/>
  <c r="ACC27" i="1"/>
  <c r="ABS27" i="1"/>
  <c r="ABI27" i="1"/>
  <c r="AAY27" i="1"/>
  <c r="AAJ27" i="1"/>
  <c r="ZZ27" i="1"/>
  <c r="ZP27" i="1"/>
  <c r="ZF27" i="1"/>
  <c r="YV27" i="1"/>
  <c r="YH27" i="1"/>
  <c r="YG27" i="1"/>
  <c r="XW27" i="1"/>
  <c r="XM27" i="1"/>
  <c r="XC27" i="1"/>
  <c r="WS27" i="1"/>
  <c r="WD27" i="1"/>
  <c r="WC27" i="1"/>
  <c r="VS27" i="1"/>
  <c r="VI27" i="1"/>
  <c r="UY27" i="1"/>
  <c r="UO27" i="1"/>
  <c r="TZ27" i="1"/>
  <c r="TY27" i="1"/>
  <c r="TO27" i="1"/>
  <c r="TE27" i="1"/>
  <c r="SU27" i="1"/>
  <c r="SK27" i="1"/>
  <c r="RX27" i="1"/>
  <c r="RP27" i="1"/>
  <c r="RO27" i="1"/>
  <c r="RE27" i="1"/>
  <c r="QU27" i="1"/>
  <c r="QK27" i="1"/>
  <c r="QA27" i="1"/>
  <c r="PK27" i="1"/>
  <c r="PJ27" i="1"/>
  <c r="OZ27" i="1"/>
  <c r="OP27" i="1"/>
  <c r="OF27" i="1"/>
  <c r="NV27" i="1"/>
  <c r="NF27" i="1"/>
  <c r="NE27" i="1"/>
  <c r="MU27" i="1"/>
  <c r="MK27" i="1"/>
  <c r="MA27" i="1"/>
  <c r="LQ27" i="1"/>
  <c r="LA27" i="1"/>
  <c r="RV27" i="1" s="1"/>
  <c r="KZ27" i="1"/>
  <c r="KP27" i="1"/>
  <c r="KF27" i="1"/>
  <c r="JV27" i="1"/>
  <c r="JL27" i="1"/>
  <c r="IY27" i="1"/>
  <c r="IW27" i="1"/>
  <c r="IQ27" i="1"/>
  <c r="IG27" i="1"/>
  <c r="HW27" i="1"/>
  <c r="HM27" i="1"/>
  <c r="HC27" i="1"/>
  <c r="GO27" i="1"/>
  <c r="GF27" i="1"/>
  <c r="FW27" i="1"/>
  <c r="FN27" i="1"/>
  <c r="FE27" i="1"/>
  <c r="EQ27" i="1"/>
  <c r="EH27" i="1"/>
  <c r="DY27" i="1"/>
  <c r="DP27" i="1"/>
  <c r="DG27" i="1"/>
  <c r="CK27" i="1"/>
  <c r="CK31" i="1" s="1"/>
  <c r="CJ27" i="1"/>
  <c r="CA27" i="1"/>
  <c r="BR27" i="1"/>
  <c r="BI27" i="1"/>
  <c r="AU27" i="1"/>
  <c r="AL27" i="1"/>
  <c r="AC27" i="1"/>
  <c r="T27" i="1"/>
  <c r="K27" i="1"/>
  <c r="ACT26" i="1"/>
  <c r="ACN26" i="1"/>
  <c r="ACM26" i="1"/>
  <c r="ACC26" i="1"/>
  <c r="ABS26" i="1"/>
  <c r="ABI26" i="1"/>
  <c r="AAY26" i="1"/>
  <c r="AAJ26" i="1"/>
  <c r="ZZ26" i="1"/>
  <c r="ZP26" i="1"/>
  <c r="ZF26" i="1"/>
  <c r="YV26" i="1"/>
  <c r="YH26" i="1"/>
  <c r="YG26" i="1"/>
  <c r="XW26" i="1"/>
  <c r="XM26" i="1"/>
  <c r="XC26" i="1"/>
  <c r="WS26" i="1"/>
  <c r="WD26" i="1"/>
  <c r="WC26" i="1"/>
  <c r="VS26" i="1"/>
  <c r="VI26" i="1"/>
  <c r="UY26" i="1"/>
  <c r="UO26" i="1"/>
  <c r="TZ26" i="1"/>
  <c r="TY26" i="1"/>
  <c r="TO26" i="1"/>
  <c r="TE26" i="1"/>
  <c r="SU26" i="1"/>
  <c r="SK26" i="1"/>
  <c r="RX26" i="1"/>
  <c r="RP26" i="1"/>
  <c r="RO26" i="1"/>
  <c r="RE26" i="1"/>
  <c r="QU26" i="1"/>
  <c r="QK26" i="1"/>
  <c r="QA26" i="1"/>
  <c r="PK26" i="1"/>
  <c r="PJ26" i="1"/>
  <c r="OZ26" i="1"/>
  <c r="OP26" i="1"/>
  <c r="OF26" i="1"/>
  <c r="NV26" i="1"/>
  <c r="NF26" i="1"/>
  <c r="NE26" i="1"/>
  <c r="MU26" i="1"/>
  <c r="MK26" i="1"/>
  <c r="MA26" i="1"/>
  <c r="LQ26" i="1"/>
  <c r="LA26" i="1"/>
  <c r="KZ26" i="1"/>
  <c r="KP26" i="1"/>
  <c r="KF26" i="1"/>
  <c r="JV26" i="1"/>
  <c r="JL26" i="1"/>
  <c r="IY26" i="1"/>
  <c r="IW26" i="1"/>
  <c r="IQ26" i="1"/>
  <c r="IG26" i="1"/>
  <c r="HW26" i="1"/>
  <c r="HM26" i="1"/>
  <c r="HC26" i="1"/>
  <c r="GO26" i="1"/>
  <c r="GF26" i="1"/>
  <c r="FW26" i="1"/>
  <c r="FN26" i="1"/>
  <c r="FE26" i="1"/>
  <c r="EQ26" i="1"/>
  <c r="EH26" i="1"/>
  <c r="DY26" i="1"/>
  <c r="DP26" i="1"/>
  <c r="DC26" i="1"/>
  <c r="DG26" i="1" s="1"/>
  <c r="CO26" i="1"/>
  <c r="CS26" i="1" s="1"/>
  <c r="CJ26" i="1"/>
  <c r="BV26" i="1"/>
  <c r="CA26" i="1" s="1"/>
  <c r="BR26" i="1"/>
  <c r="BI26" i="1"/>
  <c r="AQ26" i="1"/>
  <c r="AU26" i="1" s="1"/>
  <c r="AH26" i="1"/>
  <c r="AL26" i="1" s="1"/>
  <c r="AC26" i="1"/>
  <c r="P26" i="1"/>
  <c r="T26" i="1" s="1"/>
  <c r="K26" i="1"/>
  <c r="ACT25" i="1"/>
  <c r="ACN25" i="1"/>
  <c r="ACM25" i="1"/>
  <c r="ACC25" i="1"/>
  <c r="ABS25" i="1"/>
  <c r="ABI25" i="1"/>
  <c r="AAY25" i="1"/>
  <c r="AAJ25" i="1"/>
  <c r="ZZ25" i="1"/>
  <c r="ZP25" i="1"/>
  <c r="ZF25" i="1"/>
  <c r="YV25" i="1"/>
  <c r="AAK25" i="1" s="1"/>
  <c r="AAM25" i="1" s="1"/>
  <c r="YH25" i="1"/>
  <c r="YG25" i="1"/>
  <c r="XW25" i="1"/>
  <c r="XM25" i="1"/>
  <c r="YI25" i="1" s="1"/>
  <c r="XC25" i="1"/>
  <c r="WS25" i="1"/>
  <c r="WD25" i="1"/>
  <c r="WC25" i="1"/>
  <c r="VS25" i="1"/>
  <c r="VI25" i="1"/>
  <c r="UY25" i="1"/>
  <c r="UO25" i="1"/>
  <c r="TZ25" i="1"/>
  <c r="TY25" i="1"/>
  <c r="TO25" i="1"/>
  <c r="TE25" i="1"/>
  <c r="UA25" i="1" s="1"/>
  <c r="SU25" i="1"/>
  <c r="SK25" i="1"/>
  <c r="RX25" i="1"/>
  <c r="RP25" i="1"/>
  <c r="RO25" i="1"/>
  <c r="RE25" i="1"/>
  <c r="QU25" i="1"/>
  <c r="QK25" i="1"/>
  <c r="QA25" i="1"/>
  <c r="PK25" i="1"/>
  <c r="PJ25" i="1"/>
  <c r="OZ25" i="1"/>
  <c r="OP25" i="1"/>
  <c r="OF25" i="1"/>
  <c r="NV25" i="1"/>
  <c r="NF25" i="1"/>
  <c r="RV25" i="1" s="1"/>
  <c r="NE25" i="1"/>
  <c r="MU25" i="1"/>
  <c r="MK25" i="1"/>
  <c r="MA25" i="1"/>
  <c r="LQ25" i="1"/>
  <c r="LA25" i="1"/>
  <c r="KZ25" i="1"/>
  <c r="KP25" i="1"/>
  <c r="KF25" i="1"/>
  <c r="JV25" i="1"/>
  <c r="JL25" i="1"/>
  <c r="IY25" i="1"/>
  <c r="IW25" i="1"/>
  <c r="IQ25" i="1"/>
  <c r="IG25" i="1"/>
  <c r="HW25" i="1"/>
  <c r="HM25" i="1"/>
  <c r="HC25" i="1"/>
  <c r="GO25" i="1"/>
  <c r="GF25" i="1"/>
  <c r="FW25" i="1"/>
  <c r="FN25" i="1"/>
  <c r="FE25" i="1"/>
  <c r="EQ25" i="1"/>
  <c r="EH25" i="1"/>
  <c r="DY25" i="1"/>
  <c r="DM25" i="1"/>
  <c r="DP25" i="1" s="1"/>
  <c r="DG25" i="1"/>
  <c r="CP25" i="1"/>
  <c r="CS25" i="1" s="1"/>
  <c r="CJ25" i="1"/>
  <c r="CA25" i="1"/>
  <c r="BR25" i="1"/>
  <c r="BF25" i="1"/>
  <c r="BI25" i="1" s="1"/>
  <c r="AU25" i="1"/>
  <c r="AL25" i="1"/>
  <c r="AC25" i="1"/>
  <c r="Q25" i="1"/>
  <c r="T25" i="1" s="1"/>
  <c r="K25" i="1"/>
  <c r="ACT24" i="1"/>
  <c r="ACN24" i="1"/>
  <c r="ACM24" i="1"/>
  <c r="ACC24" i="1"/>
  <c r="ABS24" i="1"/>
  <c r="ABI24" i="1"/>
  <c r="AAY24" i="1"/>
  <c r="AAJ24" i="1"/>
  <c r="ZZ24" i="1"/>
  <c r="ZP24" i="1"/>
  <c r="ZF24" i="1"/>
  <c r="YV24" i="1"/>
  <c r="YH24" i="1"/>
  <c r="YG24" i="1"/>
  <c r="XW24" i="1"/>
  <c r="XM24" i="1"/>
  <c r="XC24" i="1"/>
  <c r="WS24" i="1"/>
  <c r="WD24" i="1"/>
  <c r="WC24" i="1"/>
  <c r="VS24" i="1"/>
  <c r="VI24" i="1"/>
  <c r="UY24" i="1"/>
  <c r="UO24" i="1"/>
  <c r="TZ24" i="1"/>
  <c r="TY24" i="1"/>
  <c r="TO24" i="1"/>
  <c r="TE24" i="1"/>
  <c r="SU24" i="1"/>
  <c r="SK24" i="1"/>
  <c r="RX24" i="1"/>
  <c r="RP24" i="1"/>
  <c r="RO24" i="1"/>
  <c r="RE24" i="1"/>
  <c r="QU24" i="1"/>
  <c r="QK24" i="1"/>
  <c r="QA24" i="1"/>
  <c r="PK24" i="1"/>
  <c r="PJ24" i="1"/>
  <c r="OZ24" i="1"/>
  <c r="OP24" i="1"/>
  <c r="OF24" i="1"/>
  <c r="NV24" i="1"/>
  <c r="NF24" i="1"/>
  <c r="NE24" i="1"/>
  <c r="MU24" i="1"/>
  <c r="MK24" i="1"/>
  <c r="MA24" i="1"/>
  <c r="LQ24" i="1"/>
  <c r="LA24" i="1"/>
  <c r="KZ24" i="1"/>
  <c r="KP24" i="1"/>
  <c r="KF24" i="1"/>
  <c r="JV24" i="1"/>
  <c r="JL24" i="1"/>
  <c r="IY24" i="1"/>
  <c r="IW24" i="1"/>
  <c r="IQ24" i="1"/>
  <c r="IG24" i="1"/>
  <c r="HW24" i="1"/>
  <c r="HM24" i="1"/>
  <c r="HC24" i="1"/>
  <c r="GO24" i="1"/>
  <c r="GF24" i="1"/>
  <c r="FW24" i="1"/>
  <c r="FN24" i="1"/>
  <c r="FE24" i="1"/>
  <c r="EQ24" i="1"/>
  <c r="EH24" i="1"/>
  <c r="DY24" i="1"/>
  <c r="DP24" i="1"/>
  <c r="DG24" i="1"/>
  <c r="CP24" i="1"/>
  <c r="CS24" i="1" s="1"/>
  <c r="CJ24" i="1"/>
  <c r="CA24" i="1"/>
  <c r="BO24" i="1"/>
  <c r="BR24" i="1" s="1"/>
  <c r="BD24" i="1"/>
  <c r="AU24" i="1"/>
  <c r="AH24" i="1"/>
  <c r="AL24" i="1" s="1"/>
  <c r="AC24" i="1"/>
  <c r="T24" i="1"/>
  <c r="K24" i="1"/>
  <c r="ACT23" i="1"/>
  <c r="ACN23" i="1"/>
  <c r="ACM23" i="1"/>
  <c r="ACC23" i="1"/>
  <c r="ABS23" i="1"/>
  <c r="ABI23" i="1"/>
  <c r="AAY23" i="1"/>
  <c r="AAJ23" i="1"/>
  <c r="ZZ23" i="1"/>
  <c r="ZP23" i="1"/>
  <c r="ZF23" i="1"/>
  <c r="YV23" i="1"/>
  <c r="YH23" i="1"/>
  <c r="YG23" i="1"/>
  <c r="XW23" i="1"/>
  <c r="XM23" i="1"/>
  <c r="XC23" i="1"/>
  <c r="WS23" i="1"/>
  <c r="WD23" i="1"/>
  <c r="WC23" i="1"/>
  <c r="VS23" i="1"/>
  <c r="VI23" i="1"/>
  <c r="UY23" i="1"/>
  <c r="UO23" i="1"/>
  <c r="TZ23" i="1"/>
  <c r="TY23" i="1"/>
  <c r="TO23" i="1"/>
  <c r="TE23" i="1"/>
  <c r="SU23" i="1"/>
  <c r="SK23" i="1"/>
  <c r="RX23" i="1"/>
  <c r="RP23" i="1"/>
  <c r="RO23" i="1"/>
  <c r="RE23" i="1"/>
  <c r="QU23" i="1"/>
  <c r="QK23" i="1"/>
  <c r="QA23" i="1"/>
  <c r="PK23" i="1"/>
  <c r="PJ23" i="1"/>
  <c r="OZ23" i="1"/>
  <c r="OP23" i="1"/>
  <c r="OF23" i="1"/>
  <c r="NV23" i="1"/>
  <c r="NF23" i="1"/>
  <c r="NE23" i="1"/>
  <c r="MU23" i="1"/>
  <c r="MK23" i="1"/>
  <c r="MA23" i="1"/>
  <c r="LQ23" i="1"/>
  <c r="LA23" i="1"/>
  <c r="KZ23" i="1"/>
  <c r="KP23" i="1"/>
  <c r="KF23" i="1"/>
  <c r="JV23" i="1"/>
  <c r="JL23" i="1"/>
  <c r="IY23" i="1"/>
  <c r="IW23" i="1"/>
  <c r="IQ23" i="1"/>
  <c r="IG23" i="1"/>
  <c r="HW23" i="1"/>
  <c r="HM23" i="1"/>
  <c r="HC23" i="1"/>
  <c r="GO23" i="1"/>
  <c r="GF23" i="1"/>
  <c r="FW23" i="1"/>
  <c r="FN23" i="1"/>
  <c r="FE23" i="1"/>
  <c r="EQ23" i="1"/>
  <c r="EH23" i="1"/>
  <c r="DY23" i="1"/>
  <c r="DP23" i="1"/>
  <c r="DG23" i="1"/>
  <c r="CS23" i="1"/>
  <c r="BR23" i="1"/>
  <c r="BI23" i="1"/>
  <c r="AU23" i="1"/>
  <c r="AL23" i="1"/>
  <c r="AC23" i="1"/>
  <c r="T23" i="1"/>
  <c r="K23" i="1"/>
  <c r="ACT22" i="1"/>
  <c r="ACN22" i="1"/>
  <c r="ACM22" i="1"/>
  <c r="ACC22" i="1"/>
  <c r="ABS22" i="1"/>
  <c r="ABI22" i="1"/>
  <c r="AAY22" i="1"/>
  <c r="AAJ22" i="1"/>
  <c r="ZZ22" i="1"/>
  <c r="ZP22" i="1"/>
  <c r="ZF22" i="1"/>
  <c r="YV22" i="1"/>
  <c r="YH22" i="1"/>
  <c r="YG22" i="1"/>
  <c r="XW22" i="1"/>
  <c r="XM22" i="1"/>
  <c r="XC22" i="1"/>
  <c r="WS22" i="1"/>
  <c r="WD22" i="1"/>
  <c r="WC22" i="1"/>
  <c r="VS22" i="1"/>
  <c r="VI22" i="1"/>
  <c r="UY22" i="1"/>
  <c r="UO22" i="1"/>
  <c r="TZ22" i="1"/>
  <c r="TY22" i="1"/>
  <c r="TO22" i="1"/>
  <c r="TE22" i="1"/>
  <c r="SU22" i="1"/>
  <c r="SK22" i="1"/>
  <c r="RX22" i="1"/>
  <c r="RP22" i="1"/>
  <c r="RO22" i="1"/>
  <c r="RE22" i="1"/>
  <c r="QU22" i="1"/>
  <c r="QK22" i="1"/>
  <c r="QA22" i="1"/>
  <c r="PK22" i="1"/>
  <c r="PJ22" i="1"/>
  <c r="OZ22" i="1"/>
  <c r="OP22" i="1"/>
  <c r="OF22" i="1"/>
  <c r="NV22" i="1"/>
  <c r="NF22" i="1"/>
  <c r="NE22" i="1"/>
  <c r="MU22" i="1"/>
  <c r="MK22" i="1"/>
  <c r="MA22" i="1"/>
  <c r="LQ22" i="1"/>
  <c r="LA22" i="1"/>
  <c r="KZ22" i="1"/>
  <c r="KP22" i="1"/>
  <c r="KF22" i="1"/>
  <c r="JV22" i="1"/>
  <c r="JL22" i="1"/>
  <c r="IY22" i="1"/>
  <c r="IW22" i="1"/>
  <c r="IQ22" i="1"/>
  <c r="IG22" i="1"/>
  <c r="HW22" i="1"/>
  <c r="HM22" i="1"/>
  <c r="HC22" i="1"/>
  <c r="GO22" i="1"/>
  <c r="GF22" i="1"/>
  <c r="FW22" i="1"/>
  <c r="FN22" i="1"/>
  <c r="FE22" i="1"/>
  <c r="EQ22" i="1"/>
  <c r="EH22" i="1"/>
  <c r="DY22" i="1"/>
  <c r="DM22" i="1"/>
  <c r="DM31" i="1" s="1"/>
  <c r="DD22" i="1"/>
  <c r="DG22" i="1" s="1"/>
  <c r="CP22" i="1"/>
  <c r="CJ22" i="1"/>
  <c r="BX22" i="1"/>
  <c r="CA22" i="1" s="1"/>
  <c r="BO22" i="1"/>
  <c r="BR22" i="1" s="1"/>
  <c r="BI22" i="1"/>
  <c r="AR22" i="1"/>
  <c r="AU22" i="1" s="1"/>
  <c r="AL22" i="1"/>
  <c r="AC22" i="1"/>
  <c r="T22" i="1"/>
  <c r="K22" i="1"/>
  <c r="ACT21" i="1"/>
  <c r="ACN21" i="1"/>
  <c r="ACM21" i="1"/>
  <c r="ACC21" i="1"/>
  <c r="ABS21" i="1"/>
  <c r="ABI21" i="1"/>
  <c r="AAY21" i="1"/>
  <c r="AAJ21" i="1"/>
  <c r="ZZ21" i="1"/>
  <c r="ZP21" i="1"/>
  <c r="ZF21" i="1"/>
  <c r="YV21" i="1"/>
  <c r="YH21" i="1"/>
  <c r="YG21" i="1"/>
  <c r="XW21" i="1"/>
  <c r="XM21" i="1"/>
  <c r="XC21" i="1"/>
  <c r="WS21" i="1"/>
  <c r="WD21" i="1"/>
  <c r="WC21" i="1"/>
  <c r="VS21" i="1"/>
  <c r="VI21" i="1"/>
  <c r="UY21" i="1"/>
  <c r="UO21" i="1"/>
  <c r="TZ21" i="1"/>
  <c r="TY21" i="1"/>
  <c r="TO21" i="1"/>
  <c r="TE21" i="1"/>
  <c r="SU21" i="1"/>
  <c r="SK21" i="1"/>
  <c r="RX21" i="1"/>
  <c r="RP21" i="1"/>
  <c r="RO21" i="1"/>
  <c r="RE21" i="1"/>
  <c r="QU21" i="1"/>
  <c r="QK21" i="1"/>
  <c r="QA21" i="1"/>
  <c r="PK21" i="1"/>
  <c r="PJ21" i="1"/>
  <c r="OZ21" i="1"/>
  <c r="OP21" i="1"/>
  <c r="OF21" i="1"/>
  <c r="NV21" i="1"/>
  <c r="NF21" i="1"/>
  <c r="NE21" i="1"/>
  <c r="MU21" i="1"/>
  <c r="MK21" i="1"/>
  <c r="MA21" i="1"/>
  <c r="LQ21" i="1"/>
  <c r="LA21" i="1"/>
  <c r="KZ21" i="1"/>
  <c r="KP21" i="1"/>
  <c r="KF21" i="1"/>
  <c r="JV21" i="1"/>
  <c r="JL21" i="1"/>
  <c r="IY21" i="1"/>
  <c r="IW21" i="1"/>
  <c r="IQ21" i="1"/>
  <c r="IG21" i="1"/>
  <c r="HW21" i="1"/>
  <c r="HM21" i="1"/>
  <c r="HC21" i="1"/>
  <c r="GO21" i="1"/>
  <c r="GF21" i="1"/>
  <c r="FW21" i="1"/>
  <c r="FN21" i="1"/>
  <c r="FE21" i="1"/>
  <c r="EQ21" i="1"/>
  <c r="EH21" i="1"/>
  <c r="DY21" i="1"/>
  <c r="DP21" i="1"/>
  <c r="DG21" i="1"/>
  <c r="CS21" i="1"/>
  <c r="CJ21" i="1"/>
  <c r="CA21" i="1"/>
  <c r="BR21" i="1"/>
  <c r="BI21" i="1"/>
  <c r="AU21" i="1"/>
  <c r="AL21" i="1"/>
  <c r="AC21" i="1"/>
  <c r="T21" i="1"/>
  <c r="K21" i="1"/>
  <c r="ACT20" i="1"/>
  <c r="ACN20" i="1"/>
  <c r="ACM20" i="1"/>
  <c r="ACC20" i="1"/>
  <c r="ABS20" i="1"/>
  <c r="ABI20" i="1"/>
  <c r="AAY20" i="1"/>
  <c r="AAJ20" i="1"/>
  <c r="ZZ20" i="1"/>
  <c r="ZP20" i="1"/>
  <c r="ZF20" i="1"/>
  <c r="YV20" i="1"/>
  <c r="YH20" i="1"/>
  <c r="YG20" i="1"/>
  <c r="XW20" i="1"/>
  <c r="XM20" i="1"/>
  <c r="XC20" i="1"/>
  <c r="WS20" i="1"/>
  <c r="WD20" i="1"/>
  <c r="WC20" i="1"/>
  <c r="VS20" i="1"/>
  <c r="VI20" i="1"/>
  <c r="UY20" i="1"/>
  <c r="UO20" i="1"/>
  <c r="TZ20" i="1"/>
  <c r="TY20" i="1"/>
  <c r="TO20" i="1"/>
  <c r="TE20" i="1"/>
  <c r="SU20" i="1"/>
  <c r="SK20" i="1"/>
  <c r="RX20" i="1"/>
  <c r="RP20" i="1"/>
  <c r="RO20" i="1"/>
  <c r="RE20" i="1"/>
  <c r="QU20" i="1"/>
  <c r="QK20" i="1"/>
  <c r="QA20" i="1"/>
  <c r="PK20" i="1"/>
  <c r="PJ20" i="1"/>
  <c r="OZ20" i="1"/>
  <c r="OP20" i="1"/>
  <c r="OF20" i="1"/>
  <c r="NV20" i="1"/>
  <c r="NF20" i="1"/>
  <c r="NE20" i="1"/>
  <c r="MU20" i="1"/>
  <c r="MK20" i="1"/>
  <c r="MA20" i="1"/>
  <c r="LQ20" i="1"/>
  <c r="LA20" i="1"/>
  <c r="KZ20" i="1"/>
  <c r="KP20" i="1"/>
  <c r="KF20" i="1"/>
  <c r="JV20" i="1"/>
  <c r="JL20" i="1"/>
  <c r="IY20" i="1"/>
  <c r="IW20" i="1"/>
  <c r="IQ20" i="1"/>
  <c r="IG20" i="1"/>
  <c r="HW20" i="1"/>
  <c r="HM20" i="1"/>
  <c r="HC20" i="1"/>
  <c r="GO20" i="1"/>
  <c r="GF20" i="1"/>
  <c r="FW20" i="1"/>
  <c r="FN20" i="1"/>
  <c r="FE20" i="1"/>
  <c r="EQ20" i="1"/>
  <c r="EE20" i="1"/>
  <c r="EE31" i="1" s="1"/>
  <c r="DY20" i="1"/>
  <c r="DP20" i="1"/>
  <c r="DG20" i="1"/>
  <c r="CS20" i="1"/>
  <c r="CG20" i="1"/>
  <c r="CJ20" i="1" s="1"/>
  <c r="BX20" i="1"/>
  <c r="CA20" i="1" s="1"/>
  <c r="BN20" i="1"/>
  <c r="BR20" i="1" s="1"/>
  <c r="BF20" i="1"/>
  <c r="BI20" i="1" s="1"/>
  <c r="AR20" i="1"/>
  <c r="AR31" i="1" s="1"/>
  <c r="AI20" i="1"/>
  <c r="AL20" i="1" s="1"/>
  <c r="AC20" i="1"/>
  <c r="T20" i="1"/>
  <c r="K20" i="1"/>
  <c r="ACN19" i="1"/>
  <c r="ACM19" i="1"/>
  <c r="ACC19" i="1"/>
  <c r="ABS19" i="1"/>
  <c r="ABI19" i="1"/>
  <c r="AAY19" i="1"/>
  <c r="AAJ19" i="1"/>
  <c r="ZZ19" i="1"/>
  <c r="ZP19" i="1"/>
  <c r="ZF19" i="1"/>
  <c r="YV19" i="1"/>
  <c r="YH19" i="1"/>
  <c r="YG19" i="1"/>
  <c r="XW19" i="1"/>
  <c r="XM19" i="1"/>
  <c r="XC19" i="1"/>
  <c r="WS19" i="1"/>
  <c r="WD19" i="1"/>
  <c r="WC19" i="1"/>
  <c r="VS19" i="1"/>
  <c r="VI19" i="1"/>
  <c r="WE19" i="1" s="1"/>
  <c r="WG19" i="1" s="1"/>
  <c r="UY19" i="1"/>
  <c r="UO19" i="1"/>
  <c r="UB19" i="1"/>
  <c r="ACT19" i="1" s="1"/>
  <c r="TZ19" i="1"/>
  <c r="TY19" i="1"/>
  <c r="TO19" i="1"/>
  <c r="TE19" i="1"/>
  <c r="SU19" i="1"/>
  <c r="SK19" i="1"/>
  <c r="RR19" i="1"/>
  <c r="RR31" i="1" s="1"/>
  <c r="RP19" i="1"/>
  <c r="RO19" i="1"/>
  <c r="RE19" i="1"/>
  <c r="QU19" i="1"/>
  <c r="QK19" i="1"/>
  <c r="QA19" i="1"/>
  <c r="PM19" i="1"/>
  <c r="PM31" i="1" s="1"/>
  <c r="PK19" i="1"/>
  <c r="PJ19" i="1"/>
  <c r="OZ19" i="1"/>
  <c r="OP19" i="1"/>
  <c r="OF19" i="1"/>
  <c r="NV19" i="1"/>
  <c r="NH19" i="1"/>
  <c r="NH31" i="1" s="1"/>
  <c r="NF19" i="1"/>
  <c r="NE19" i="1"/>
  <c r="MU19" i="1"/>
  <c r="MK19" i="1"/>
  <c r="NG19" i="1" s="1"/>
  <c r="NI19" i="1" s="1"/>
  <c r="MA19" i="1"/>
  <c r="LQ19" i="1"/>
  <c r="LC19" i="1"/>
  <c r="LA19" i="1"/>
  <c r="KZ19" i="1"/>
  <c r="KP19" i="1"/>
  <c r="KF19" i="1"/>
  <c r="JV19" i="1"/>
  <c r="JL19" i="1"/>
  <c r="IY19" i="1"/>
  <c r="IQ19" i="1"/>
  <c r="IG19" i="1"/>
  <c r="HW19" i="1"/>
  <c r="HM19" i="1"/>
  <c r="HC19" i="1"/>
  <c r="GP19" i="1"/>
  <c r="GP31" i="1" s="1"/>
  <c r="GO19" i="1"/>
  <c r="GF19" i="1"/>
  <c r="FW19" i="1"/>
  <c r="FN19" i="1"/>
  <c r="FE19" i="1"/>
  <c r="ER19" i="1"/>
  <c r="ER31" i="1" s="1"/>
  <c r="EQ19" i="1"/>
  <c r="EH19" i="1"/>
  <c r="DY19" i="1"/>
  <c r="DP19" i="1"/>
  <c r="DG19" i="1"/>
  <c r="CS19" i="1"/>
  <c r="CJ19" i="1"/>
  <c r="BX19" i="1"/>
  <c r="CA19" i="1" s="1"/>
  <c r="BO19" i="1"/>
  <c r="BR19" i="1" s="1"/>
  <c r="BF19" i="1"/>
  <c r="BI19" i="1" s="1"/>
  <c r="AU19" i="1"/>
  <c r="AI19" i="1"/>
  <c r="AL19" i="1" s="1"/>
  <c r="AC19" i="1"/>
  <c r="T19" i="1"/>
  <c r="K19" i="1"/>
  <c r="ACT18" i="1"/>
  <c r="ACN18" i="1"/>
  <c r="ACM18" i="1"/>
  <c r="ACC18" i="1"/>
  <c r="ABS18" i="1"/>
  <c r="ABI18" i="1"/>
  <c r="AAY18" i="1"/>
  <c r="AAJ18" i="1"/>
  <c r="ZZ18" i="1"/>
  <c r="ZP18" i="1"/>
  <c r="ZF18" i="1"/>
  <c r="YV18" i="1"/>
  <c r="YH18" i="1"/>
  <c r="YG18" i="1"/>
  <c r="XW18" i="1"/>
  <c r="XM18" i="1"/>
  <c r="XC18" i="1"/>
  <c r="WS18" i="1"/>
  <c r="WD18" i="1"/>
  <c r="WC18" i="1"/>
  <c r="VS18" i="1"/>
  <c r="VI18" i="1"/>
  <c r="UY18" i="1"/>
  <c r="UO18" i="1"/>
  <c r="TZ18" i="1"/>
  <c r="TY18" i="1"/>
  <c r="TO18" i="1"/>
  <c r="TE18" i="1"/>
  <c r="SU18" i="1"/>
  <c r="SK18" i="1"/>
  <c r="RX18" i="1"/>
  <c r="RP18" i="1"/>
  <c r="RO18" i="1"/>
  <c r="RE18" i="1"/>
  <c r="QU18" i="1"/>
  <c r="QK18" i="1"/>
  <c r="QA18" i="1"/>
  <c r="PK18" i="1"/>
  <c r="PJ18" i="1"/>
  <c r="OZ18" i="1"/>
  <c r="OP18" i="1"/>
  <c r="OF18" i="1"/>
  <c r="NV18" i="1"/>
  <c r="NF18" i="1"/>
  <c r="NE18" i="1"/>
  <c r="MU18" i="1"/>
  <c r="MK18" i="1"/>
  <c r="MA18" i="1"/>
  <c r="LQ18" i="1"/>
  <c r="LA18" i="1"/>
  <c r="KZ18" i="1"/>
  <c r="KP18" i="1"/>
  <c r="KF18" i="1"/>
  <c r="JV18" i="1"/>
  <c r="JL18" i="1"/>
  <c r="IY18" i="1"/>
  <c r="IW18" i="1"/>
  <c r="IQ18" i="1"/>
  <c r="IG18" i="1"/>
  <c r="HW18" i="1"/>
  <c r="HM18" i="1"/>
  <c r="HC18" i="1"/>
  <c r="GO18" i="1"/>
  <c r="GF18" i="1"/>
  <c r="FW18" i="1"/>
  <c r="FN18" i="1"/>
  <c r="FE18" i="1"/>
  <c r="EQ18" i="1"/>
  <c r="ED18" i="1"/>
  <c r="EH18" i="1" s="1"/>
  <c r="DU18" i="1"/>
  <c r="DY18" i="1" s="1"/>
  <c r="DL18" i="1"/>
  <c r="DP18" i="1" s="1"/>
  <c r="DG18" i="1"/>
  <c r="CS18" i="1"/>
  <c r="CF18" i="1"/>
  <c r="CJ18" i="1" s="1"/>
  <c r="CA18" i="1"/>
  <c r="BN18" i="1"/>
  <c r="BR18" i="1" s="1"/>
  <c r="BE18" i="1"/>
  <c r="BI18" i="1" s="1"/>
  <c r="AU18" i="1"/>
  <c r="AH18" i="1"/>
  <c r="AH31" i="1" s="1"/>
  <c r="AC18" i="1"/>
  <c r="T18" i="1"/>
  <c r="K18" i="1"/>
  <c r="ACN17" i="1"/>
  <c r="ACM17" i="1"/>
  <c r="ACC17" i="1"/>
  <c r="ABS17" i="1"/>
  <c r="ABI17" i="1"/>
  <c r="AAY17" i="1"/>
  <c r="AAJ17" i="1"/>
  <c r="ZZ17" i="1"/>
  <c r="ZP17" i="1"/>
  <c r="ZF17" i="1"/>
  <c r="YV17" i="1"/>
  <c r="YH17" i="1"/>
  <c r="YG17" i="1"/>
  <c r="XW17" i="1"/>
  <c r="XM17" i="1"/>
  <c r="XC17" i="1"/>
  <c r="WS17" i="1"/>
  <c r="WD17" i="1"/>
  <c r="WC17" i="1"/>
  <c r="VS17" i="1"/>
  <c r="VI17" i="1"/>
  <c r="UY17" i="1"/>
  <c r="UO17" i="1"/>
  <c r="UB17" i="1"/>
  <c r="ACT17" i="1" s="1"/>
  <c r="TZ17" i="1"/>
  <c r="TY17" i="1"/>
  <c r="TO17" i="1"/>
  <c r="TE17" i="1"/>
  <c r="SU17" i="1"/>
  <c r="SK17" i="1"/>
  <c r="RX17" i="1"/>
  <c r="RP17" i="1"/>
  <c r="RO17" i="1"/>
  <c r="RE17" i="1"/>
  <c r="QU17" i="1"/>
  <c r="QK17" i="1"/>
  <c r="QA17" i="1"/>
  <c r="PK17" i="1"/>
  <c r="PJ17" i="1"/>
  <c r="OZ17" i="1"/>
  <c r="OP17" i="1"/>
  <c r="OF17" i="1"/>
  <c r="NO17" i="1"/>
  <c r="NF17" i="1"/>
  <c r="NE17" i="1"/>
  <c r="MU17" i="1"/>
  <c r="MK17" i="1"/>
  <c r="MA17" i="1"/>
  <c r="LQ17" i="1"/>
  <c r="LA17" i="1"/>
  <c r="KZ17" i="1"/>
  <c r="KP17" i="1"/>
  <c r="KF17" i="1"/>
  <c r="JV17" i="1"/>
  <c r="JL17" i="1"/>
  <c r="IY17" i="1"/>
  <c r="IW17" i="1"/>
  <c r="IQ17" i="1"/>
  <c r="IG17" i="1"/>
  <c r="HW17" i="1"/>
  <c r="HM17" i="1"/>
  <c r="HC17" i="1"/>
  <c r="GI17" i="1"/>
  <c r="GF17" i="1"/>
  <c r="FW17" i="1"/>
  <c r="FN17" i="1"/>
  <c r="FE17" i="1"/>
  <c r="EQ17" i="1"/>
  <c r="EB17" i="1"/>
  <c r="DY17" i="1"/>
  <c r="DP17" i="1"/>
  <c r="DG17" i="1"/>
  <c r="CS17" i="1"/>
  <c r="CD17" i="1"/>
  <c r="BU17" i="1"/>
  <c r="BU31" i="1" s="1"/>
  <c r="BL17" i="1"/>
  <c r="BE17" i="1"/>
  <c r="BI17" i="1" s="1"/>
  <c r="AO17" i="1"/>
  <c r="AF17" i="1"/>
  <c r="AC17" i="1"/>
  <c r="N17" i="1"/>
  <c r="K17" i="1"/>
  <c r="ACT16" i="1"/>
  <c r="ACN16" i="1"/>
  <c r="ACM16" i="1"/>
  <c r="ACC16" i="1"/>
  <c r="ABS16" i="1"/>
  <c r="ABI16" i="1"/>
  <c r="AAY16" i="1"/>
  <c r="AAJ16" i="1"/>
  <c r="ZZ16" i="1"/>
  <c r="ZP16" i="1"/>
  <c r="ZF16" i="1"/>
  <c r="YV16" i="1"/>
  <c r="YH16" i="1"/>
  <c r="YG16" i="1"/>
  <c r="XW16" i="1"/>
  <c r="XM16" i="1"/>
  <c r="XC16" i="1"/>
  <c r="WS16" i="1"/>
  <c r="WD16" i="1"/>
  <c r="WC16" i="1"/>
  <c r="VS16" i="1"/>
  <c r="VI16" i="1"/>
  <c r="UY16" i="1"/>
  <c r="UO16" i="1"/>
  <c r="TZ16" i="1"/>
  <c r="TY16" i="1"/>
  <c r="TO16" i="1"/>
  <c r="TE16" i="1"/>
  <c r="SU16" i="1"/>
  <c r="SK16" i="1"/>
  <c r="RX16" i="1"/>
  <c r="RP16" i="1"/>
  <c r="RO16" i="1"/>
  <c r="RE16" i="1"/>
  <c r="QU16" i="1"/>
  <c r="QK16" i="1"/>
  <c r="QA16" i="1"/>
  <c r="PK16" i="1"/>
  <c r="PJ16" i="1"/>
  <c r="OZ16" i="1"/>
  <c r="OP16" i="1"/>
  <c r="OF16" i="1"/>
  <c r="NV16" i="1"/>
  <c r="NF16" i="1"/>
  <c r="NE16" i="1"/>
  <c r="MU16" i="1"/>
  <c r="MK16" i="1"/>
  <c r="MA16" i="1"/>
  <c r="LQ16" i="1"/>
  <c r="LA16" i="1"/>
  <c r="KZ16" i="1"/>
  <c r="KP16" i="1"/>
  <c r="KF16" i="1"/>
  <c r="JV16" i="1"/>
  <c r="JL16" i="1"/>
  <c r="IY16" i="1"/>
  <c r="IW16" i="1"/>
  <c r="IQ16" i="1"/>
  <c r="IG16" i="1"/>
  <c r="HW16" i="1"/>
  <c r="HM16" i="1"/>
  <c r="HC16" i="1"/>
  <c r="GK16" i="1"/>
  <c r="GF16" i="1"/>
  <c r="FW16" i="1"/>
  <c r="FN16" i="1"/>
  <c r="FE16" i="1"/>
  <c r="EQ16" i="1"/>
  <c r="ED16" i="1"/>
  <c r="ED31" i="1" s="1"/>
  <c r="DU16" i="1"/>
  <c r="DP16" i="1"/>
  <c r="CY16" i="1"/>
  <c r="CY31" i="1" s="1"/>
  <c r="CS16" i="1"/>
  <c r="CC16" i="1"/>
  <c r="CC31" i="1" s="1"/>
  <c r="BW16" i="1"/>
  <c r="BN16" i="1"/>
  <c r="BR16" i="1" s="1"/>
  <c r="BA16" i="1"/>
  <c r="AM16" i="1"/>
  <c r="AU16" i="1" s="1"/>
  <c r="AL16" i="1"/>
  <c r="AC16" i="1"/>
  <c r="M16" i="1"/>
  <c r="M31" i="1" s="1"/>
  <c r="L16" i="1"/>
  <c r="K16" i="1"/>
  <c r="ACT15" i="1"/>
  <c r="ACN15" i="1"/>
  <c r="ACM15" i="1"/>
  <c r="ACC15" i="1"/>
  <c r="ABS15" i="1"/>
  <c r="ABI15" i="1"/>
  <c r="AAY15" i="1"/>
  <c r="AAJ15" i="1"/>
  <c r="ZZ15" i="1"/>
  <c r="ZP15" i="1"/>
  <c r="ZF15" i="1"/>
  <c r="YV15" i="1"/>
  <c r="YH15" i="1"/>
  <c r="YG15" i="1"/>
  <c r="XW15" i="1"/>
  <c r="XM15" i="1"/>
  <c r="XC15" i="1"/>
  <c r="WS15" i="1"/>
  <c r="WD15" i="1"/>
  <c r="WC15" i="1"/>
  <c r="VS15" i="1"/>
  <c r="VI15" i="1"/>
  <c r="UY15" i="1"/>
  <c r="UO15" i="1"/>
  <c r="TZ15" i="1"/>
  <c r="TY15" i="1"/>
  <c r="TO15" i="1"/>
  <c r="TE15" i="1"/>
  <c r="SU15" i="1"/>
  <c r="SK15" i="1"/>
  <c r="RX15" i="1"/>
  <c r="RP15" i="1"/>
  <c r="RO15" i="1"/>
  <c r="RE15" i="1"/>
  <c r="QU15" i="1"/>
  <c r="QK15" i="1"/>
  <c r="QA15" i="1"/>
  <c r="PK15" i="1"/>
  <c r="PJ15" i="1"/>
  <c r="OZ15" i="1"/>
  <c r="OP15" i="1"/>
  <c r="OF15" i="1"/>
  <c r="NV15" i="1"/>
  <c r="NF15" i="1"/>
  <c r="NE15" i="1"/>
  <c r="MU15" i="1"/>
  <c r="MK15" i="1"/>
  <c r="MA15" i="1"/>
  <c r="LQ15" i="1"/>
  <c r="LA15" i="1"/>
  <c r="KZ15" i="1"/>
  <c r="KP15" i="1"/>
  <c r="KF15" i="1"/>
  <c r="JV15" i="1"/>
  <c r="JL15" i="1"/>
  <c r="IY15" i="1"/>
  <c r="IW15" i="1"/>
  <c r="IQ15" i="1"/>
  <c r="IG15" i="1"/>
  <c r="HW15" i="1"/>
  <c r="HM15" i="1"/>
  <c r="HC15" i="1"/>
  <c r="GO15" i="1"/>
  <c r="GF15" i="1"/>
  <c r="FW15" i="1"/>
  <c r="FN15" i="1"/>
  <c r="FE15" i="1"/>
  <c r="EQ15" i="1"/>
  <c r="EH15" i="1"/>
  <c r="DY15" i="1"/>
  <c r="DL15" i="1"/>
  <c r="DP15" i="1" s="1"/>
  <c r="DC15" i="1"/>
  <c r="DC31" i="1" s="1"/>
  <c r="CO15" i="1"/>
  <c r="CS15" i="1" s="1"/>
  <c r="CF15" i="1"/>
  <c r="CJ15" i="1" s="1"/>
  <c r="CA15" i="1"/>
  <c r="BN15" i="1"/>
  <c r="BE15" i="1"/>
  <c r="BI15" i="1" s="1"/>
  <c r="AQ15" i="1"/>
  <c r="AL15" i="1"/>
  <c r="AC15" i="1"/>
  <c r="P15" i="1"/>
  <c r="K15" i="1"/>
  <c r="ACT14" i="1"/>
  <c r="ACN14" i="1"/>
  <c r="ACM14" i="1"/>
  <c r="ACC14" i="1"/>
  <c r="ABS14" i="1"/>
  <c r="ABI14" i="1"/>
  <c r="AAY14" i="1"/>
  <c r="AAJ14" i="1"/>
  <c r="ZZ14" i="1"/>
  <c r="ZP14" i="1"/>
  <c r="ZF14" i="1"/>
  <c r="YV14" i="1"/>
  <c r="YH14" i="1"/>
  <c r="YG14" i="1"/>
  <c r="XW14" i="1"/>
  <c r="XM14" i="1"/>
  <c r="XC14" i="1"/>
  <c r="WS14" i="1"/>
  <c r="WD14" i="1"/>
  <c r="WC14" i="1"/>
  <c r="VS14" i="1"/>
  <c r="VI14" i="1"/>
  <c r="UY14" i="1"/>
  <c r="UO14" i="1"/>
  <c r="TZ14" i="1"/>
  <c r="TY14" i="1"/>
  <c r="TO14" i="1"/>
  <c r="TE14" i="1"/>
  <c r="SU14" i="1"/>
  <c r="SK14" i="1"/>
  <c r="RX14" i="1"/>
  <c r="RP14" i="1"/>
  <c r="RO14" i="1"/>
  <c r="RE14" i="1"/>
  <c r="QU14" i="1"/>
  <c r="QK14" i="1"/>
  <c r="QA14" i="1"/>
  <c r="PK14" i="1"/>
  <c r="PJ14" i="1"/>
  <c r="OZ14" i="1"/>
  <c r="OP14" i="1"/>
  <c r="OF14" i="1"/>
  <c r="NV14" i="1"/>
  <c r="NF14" i="1"/>
  <c r="NE14" i="1"/>
  <c r="MU14" i="1"/>
  <c r="MK14" i="1"/>
  <c r="MA14" i="1"/>
  <c r="LQ14" i="1"/>
  <c r="LA14" i="1"/>
  <c r="KZ14" i="1"/>
  <c r="KP14" i="1"/>
  <c r="KF14" i="1"/>
  <c r="JV14" i="1"/>
  <c r="JL14" i="1"/>
  <c r="IY14" i="1"/>
  <c r="IW14" i="1"/>
  <c r="IQ14" i="1"/>
  <c r="IG14" i="1"/>
  <c r="HW14" i="1"/>
  <c r="HM14" i="1"/>
  <c r="HC14" i="1"/>
  <c r="GO14" i="1"/>
  <c r="GF14" i="1"/>
  <c r="FW14" i="1"/>
  <c r="FN14" i="1"/>
  <c r="FE14" i="1"/>
  <c r="EQ14" i="1"/>
  <c r="EH14" i="1"/>
  <c r="DT14" i="1"/>
  <c r="DP14" i="1"/>
  <c r="DG14" i="1"/>
  <c r="CS14" i="1"/>
  <c r="CJ14" i="1"/>
  <c r="BV14" i="1"/>
  <c r="BM14" i="1"/>
  <c r="BM31" i="1" s="1"/>
  <c r="BI14" i="1"/>
  <c r="AU14" i="1"/>
  <c r="AL14" i="1"/>
  <c r="AC14" i="1"/>
  <c r="T14" i="1"/>
  <c r="K14" i="1"/>
  <c r="ACT13" i="1"/>
  <c r="ACN13" i="1"/>
  <c r="ACM13" i="1"/>
  <c r="ACC13" i="1"/>
  <c r="ABS13" i="1"/>
  <c r="ABI13" i="1"/>
  <c r="AAY13" i="1"/>
  <c r="AAJ13" i="1"/>
  <c r="ZZ13" i="1"/>
  <c r="ZP13" i="1"/>
  <c r="ZF13" i="1"/>
  <c r="YV13" i="1"/>
  <c r="YH13" i="1"/>
  <c r="YG13" i="1"/>
  <c r="XW13" i="1"/>
  <c r="XM13" i="1"/>
  <c r="XC13" i="1"/>
  <c r="WS13" i="1"/>
  <c r="WD13" i="1"/>
  <c r="WC13" i="1"/>
  <c r="VS13" i="1"/>
  <c r="VI13" i="1"/>
  <c r="UY13" i="1"/>
  <c r="UO13" i="1"/>
  <c r="TZ13" i="1"/>
  <c r="TY13" i="1"/>
  <c r="TO13" i="1"/>
  <c r="TE13" i="1"/>
  <c r="SU13" i="1"/>
  <c r="SK13" i="1"/>
  <c r="RX13" i="1"/>
  <c r="RP13" i="1"/>
  <c r="RO13" i="1"/>
  <c r="RE13" i="1"/>
  <c r="QU13" i="1"/>
  <c r="QK13" i="1"/>
  <c r="QA13" i="1"/>
  <c r="PK13" i="1"/>
  <c r="PJ13" i="1"/>
  <c r="OZ13" i="1"/>
  <c r="OP13" i="1"/>
  <c r="OF13" i="1"/>
  <c r="NV13" i="1"/>
  <c r="NF13" i="1"/>
  <c r="NE13" i="1"/>
  <c r="MU13" i="1"/>
  <c r="MK13" i="1"/>
  <c r="MA13" i="1"/>
  <c r="LQ13" i="1"/>
  <c r="LA13" i="1"/>
  <c r="KZ13" i="1"/>
  <c r="KP13" i="1"/>
  <c r="KF13" i="1"/>
  <c r="JV13" i="1"/>
  <c r="JL13" i="1"/>
  <c r="IY13" i="1"/>
  <c r="IW13" i="1"/>
  <c r="IQ13" i="1"/>
  <c r="IG13" i="1"/>
  <c r="HW13" i="1"/>
  <c r="HM13" i="1"/>
  <c r="HC13" i="1"/>
  <c r="GO13" i="1"/>
  <c r="GF13" i="1"/>
  <c r="FW13" i="1"/>
  <c r="FN13" i="1"/>
  <c r="FE13" i="1"/>
  <c r="EQ13" i="1"/>
  <c r="EH13" i="1"/>
  <c r="DY13" i="1"/>
  <c r="DP13" i="1"/>
  <c r="DD13" i="1"/>
  <c r="DG13" i="1" s="1"/>
  <c r="CS13" i="1"/>
  <c r="CG13" i="1"/>
  <c r="CJ13" i="1" s="1"/>
  <c r="CA13" i="1"/>
  <c r="BO13" i="1"/>
  <c r="BR13" i="1" s="1"/>
  <c r="BF13" i="1"/>
  <c r="BI13" i="1" s="1"/>
  <c r="AU13" i="1"/>
  <c r="AL13" i="1"/>
  <c r="AC13" i="1"/>
  <c r="T13" i="1"/>
  <c r="K13" i="1"/>
  <c r="ACT12" i="1"/>
  <c r="ACN12" i="1"/>
  <c r="ACM12" i="1"/>
  <c r="ACC12" i="1"/>
  <c r="ABS12" i="1"/>
  <c r="ABI12" i="1"/>
  <c r="AAY12" i="1"/>
  <c r="AAJ12" i="1"/>
  <c r="ZZ12" i="1"/>
  <c r="ZP12" i="1"/>
  <c r="ZF12" i="1"/>
  <c r="YV12" i="1"/>
  <c r="YH12" i="1"/>
  <c r="YG12" i="1"/>
  <c r="XW12" i="1"/>
  <c r="XM12" i="1"/>
  <c r="XC12" i="1"/>
  <c r="WS12" i="1"/>
  <c r="WD12" i="1"/>
  <c r="WC12" i="1"/>
  <c r="VS12" i="1"/>
  <c r="VI12" i="1"/>
  <c r="UY12" i="1"/>
  <c r="UO12" i="1"/>
  <c r="TZ12" i="1"/>
  <c r="TY12" i="1"/>
  <c r="TO12" i="1"/>
  <c r="TE12" i="1"/>
  <c r="SU12" i="1"/>
  <c r="SK12" i="1"/>
  <c r="RX12" i="1"/>
  <c r="RP12" i="1"/>
  <c r="RO12" i="1"/>
  <c r="RE12" i="1"/>
  <c r="QU12" i="1"/>
  <c r="QK12" i="1"/>
  <c r="QA12" i="1"/>
  <c r="PK12" i="1"/>
  <c r="PJ12" i="1"/>
  <c r="OZ12" i="1"/>
  <c r="OP12" i="1"/>
  <c r="OF12" i="1"/>
  <c r="NV12" i="1"/>
  <c r="NF12" i="1"/>
  <c r="NE12" i="1"/>
  <c r="MU12" i="1"/>
  <c r="MK12" i="1"/>
  <c r="MA12" i="1"/>
  <c r="LQ12" i="1"/>
  <c r="LA12" i="1"/>
  <c r="KZ12" i="1"/>
  <c r="KP12" i="1"/>
  <c r="KF12" i="1"/>
  <c r="JV12" i="1"/>
  <c r="JL12" i="1"/>
  <c r="IY12" i="1"/>
  <c r="IW12" i="1"/>
  <c r="IQ12" i="1"/>
  <c r="IG12" i="1"/>
  <c r="HW12" i="1"/>
  <c r="HM12" i="1"/>
  <c r="HC12" i="1"/>
  <c r="GO12" i="1"/>
  <c r="GF12" i="1"/>
  <c r="FW12" i="1"/>
  <c r="FN12" i="1"/>
  <c r="FE12" i="1"/>
  <c r="EQ12" i="1"/>
  <c r="EH12" i="1"/>
  <c r="DY12" i="1"/>
  <c r="DP12" i="1"/>
  <c r="DG12" i="1"/>
  <c r="DD12" i="1"/>
  <c r="CN12" i="1"/>
  <c r="CN31" i="1" s="1"/>
  <c r="CJ12" i="1"/>
  <c r="CG12" i="1"/>
  <c r="BX12" i="1"/>
  <c r="BO12" i="1"/>
  <c r="BR12" i="1" s="1"/>
  <c r="BF12" i="1"/>
  <c r="BI12" i="1" s="1"/>
  <c r="AU12" i="1"/>
  <c r="AL12" i="1"/>
  <c r="AC12" i="1"/>
  <c r="T12" i="1"/>
  <c r="K12" i="1"/>
  <c r="ACN11" i="1"/>
  <c r="ACM11" i="1"/>
  <c r="ACC11" i="1"/>
  <c r="ABS11" i="1"/>
  <c r="ABI11" i="1"/>
  <c r="AAY11" i="1"/>
  <c r="AAJ11" i="1"/>
  <c r="ZZ11" i="1"/>
  <c r="ZP11" i="1"/>
  <c r="ZF11" i="1"/>
  <c r="YV11" i="1"/>
  <c r="YH11" i="1"/>
  <c r="YG11" i="1"/>
  <c r="XW11" i="1"/>
  <c r="XM11" i="1"/>
  <c r="XC11" i="1"/>
  <c r="WS11" i="1"/>
  <c r="WD11" i="1"/>
  <c r="WC11" i="1"/>
  <c r="VS11" i="1"/>
  <c r="VI11" i="1"/>
  <c r="UY11" i="1"/>
  <c r="UO11" i="1"/>
  <c r="UB11" i="1"/>
  <c r="TZ11" i="1"/>
  <c r="TY11" i="1"/>
  <c r="TO11" i="1"/>
  <c r="TE11" i="1"/>
  <c r="SU11" i="1"/>
  <c r="SK11" i="1"/>
  <c r="RX11" i="1"/>
  <c r="RP11" i="1"/>
  <c r="RO11" i="1"/>
  <c r="RE11" i="1"/>
  <c r="QU11" i="1"/>
  <c r="QK11" i="1"/>
  <c r="QA11" i="1"/>
  <c r="PK11" i="1"/>
  <c r="PJ11" i="1"/>
  <c r="OZ11" i="1"/>
  <c r="OP11" i="1"/>
  <c r="OF11" i="1"/>
  <c r="NV11" i="1"/>
  <c r="NF11" i="1"/>
  <c r="NE11" i="1"/>
  <c r="MU11" i="1"/>
  <c r="MK11" i="1"/>
  <c r="MA11" i="1"/>
  <c r="LQ11" i="1"/>
  <c r="LA11" i="1"/>
  <c r="KZ11" i="1"/>
  <c r="KP11" i="1"/>
  <c r="KF11" i="1"/>
  <c r="JV11" i="1"/>
  <c r="JL11" i="1"/>
  <c r="IY11" i="1"/>
  <c r="IW11" i="1"/>
  <c r="IQ11" i="1"/>
  <c r="IG11" i="1"/>
  <c r="HW11" i="1"/>
  <c r="HM11" i="1"/>
  <c r="HC11" i="1"/>
  <c r="GO11" i="1"/>
  <c r="GF11" i="1"/>
  <c r="FW11" i="1"/>
  <c r="FN11" i="1"/>
  <c r="FE11" i="1"/>
  <c r="EQ11" i="1"/>
  <c r="EH11" i="1"/>
  <c r="DY11" i="1"/>
  <c r="DP11" i="1"/>
  <c r="DG11" i="1"/>
  <c r="CS11" i="1"/>
  <c r="CJ11" i="1"/>
  <c r="CA11" i="1"/>
  <c r="BR11" i="1"/>
  <c r="BI11" i="1"/>
  <c r="AU11" i="1"/>
  <c r="AL11" i="1"/>
  <c r="AC11" i="1"/>
  <c r="T11" i="1"/>
  <c r="K11" i="1"/>
  <c r="ACT10" i="1"/>
  <c r="ACN10" i="1"/>
  <c r="ACM10" i="1"/>
  <c r="ACC10" i="1"/>
  <c r="ABS10" i="1"/>
  <c r="ABI10" i="1"/>
  <c r="AAY10" i="1"/>
  <c r="AAJ10" i="1"/>
  <c r="ZZ10" i="1"/>
  <c r="ZP10" i="1"/>
  <c r="ZF10" i="1"/>
  <c r="YV10" i="1"/>
  <c r="YH10" i="1"/>
  <c r="YG10" i="1"/>
  <c r="XW10" i="1"/>
  <c r="XM10" i="1"/>
  <c r="XC10" i="1"/>
  <c r="WS10" i="1"/>
  <c r="WD10" i="1"/>
  <c r="WC10" i="1"/>
  <c r="VS10" i="1"/>
  <c r="VI10" i="1"/>
  <c r="UY10" i="1"/>
  <c r="UO10" i="1"/>
  <c r="TZ10" i="1"/>
  <c r="TY10" i="1"/>
  <c r="TO10" i="1"/>
  <c r="TE10" i="1"/>
  <c r="SU10" i="1"/>
  <c r="SK10" i="1"/>
  <c r="RX10" i="1"/>
  <c r="RW10" i="1"/>
  <c r="IQ10" i="1"/>
  <c r="IG10" i="1"/>
  <c r="HW10" i="1"/>
  <c r="HM10" i="1"/>
  <c r="HC10" i="1"/>
  <c r="GO10" i="1"/>
  <c r="GF10" i="1"/>
  <c r="FW10" i="1"/>
  <c r="FN10" i="1"/>
  <c r="FE10" i="1"/>
  <c r="EQ10" i="1"/>
  <c r="EH10" i="1"/>
  <c r="DY10" i="1"/>
  <c r="DP10" i="1"/>
  <c r="DG10" i="1"/>
  <c r="CS10" i="1"/>
  <c r="BR10" i="1"/>
  <c r="BI10" i="1"/>
  <c r="AU10" i="1"/>
  <c r="AL10" i="1"/>
  <c r="AC10" i="1"/>
  <c r="T10" i="1"/>
  <c r="K10" i="1"/>
  <c r="ACT9" i="1"/>
  <c r="ACN9" i="1"/>
  <c r="ACM9" i="1"/>
  <c r="ACC9" i="1"/>
  <c r="ABS9" i="1"/>
  <c r="ABI9" i="1"/>
  <c r="AAY9" i="1"/>
  <c r="AAJ9" i="1"/>
  <c r="ZZ9" i="1"/>
  <c r="ZP9" i="1"/>
  <c r="ZF9" i="1"/>
  <c r="YV9" i="1"/>
  <c r="YH9" i="1"/>
  <c r="YG9" i="1"/>
  <c r="XW9" i="1"/>
  <c r="XM9" i="1"/>
  <c r="XC9" i="1"/>
  <c r="WS9" i="1"/>
  <c r="WD9" i="1"/>
  <c r="WC9" i="1"/>
  <c r="VS9" i="1"/>
  <c r="VI9" i="1"/>
  <c r="UY9" i="1"/>
  <c r="UO9" i="1"/>
  <c r="TZ9" i="1"/>
  <c r="TY9" i="1"/>
  <c r="TO9" i="1"/>
  <c r="TE9" i="1"/>
  <c r="SU9" i="1"/>
  <c r="SK9" i="1"/>
  <c r="RX9" i="1"/>
  <c r="RP9" i="1"/>
  <c r="RO9" i="1"/>
  <c r="RE9" i="1"/>
  <c r="QU9" i="1"/>
  <c r="QK9" i="1"/>
  <c r="QA9" i="1"/>
  <c r="PK9" i="1"/>
  <c r="PJ9" i="1"/>
  <c r="OZ9" i="1"/>
  <c r="OP9" i="1"/>
  <c r="OF9" i="1"/>
  <c r="NV9" i="1"/>
  <c r="NF9" i="1"/>
  <c r="NE9" i="1"/>
  <c r="MU9" i="1"/>
  <c r="MK9" i="1"/>
  <c r="MA9" i="1"/>
  <c r="LQ9" i="1"/>
  <c r="LA9" i="1"/>
  <c r="KZ9" i="1"/>
  <c r="KP9" i="1"/>
  <c r="KF9" i="1"/>
  <c r="JV9" i="1"/>
  <c r="JL9" i="1"/>
  <c r="IY9" i="1"/>
  <c r="IW9" i="1"/>
  <c r="IQ9" i="1"/>
  <c r="IG9" i="1"/>
  <c r="HW9" i="1"/>
  <c r="HM9" i="1"/>
  <c r="HC9" i="1"/>
  <c r="GO9" i="1"/>
  <c r="GF9" i="1"/>
  <c r="FW9" i="1"/>
  <c r="FN9" i="1"/>
  <c r="FE9" i="1"/>
  <c r="EQ9" i="1"/>
  <c r="EH9" i="1"/>
  <c r="DY9" i="1"/>
  <c r="DL9" i="1"/>
  <c r="DP9" i="1" s="1"/>
  <c r="DG9" i="1"/>
  <c r="CO9" i="1"/>
  <c r="CJ9" i="1"/>
  <c r="CA9" i="1"/>
  <c r="BR9" i="1"/>
  <c r="BI9" i="1"/>
  <c r="AU9" i="1"/>
  <c r="AL9" i="1"/>
  <c r="AC9" i="1"/>
  <c r="T9" i="1"/>
  <c r="K9" i="1"/>
  <c r="ACT8" i="1"/>
  <c r="ACN8" i="1"/>
  <c r="ACM8" i="1"/>
  <c r="ACC8" i="1"/>
  <c r="ABS8" i="1"/>
  <c r="ABI8" i="1"/>
  <c r="AAY8" i="1"/>
  <c r="AAJ8" i="1"/>
  <c r="ZZ8" i="1"/>
  <c r="ZP8" i="1"/>
  <c r="ZF8" i="1"/>
  <c r="YV8" i="1"/>
  <c r="YH8" i="1"/>
  <c r="YG8" i="1"/>
  <c r="XW8" i="1"/>
  <c r="XM8" i="1"/>
  <c r="XC8" i="1"/>
  <c r="WS8" i="1"/>
  <c r="WD8" i="1"/>
  <c r="WC8" i="1"/>
  <c r="VS8" i="1"/>
  <c r="VI8" i="1"/>
  <c r="UY8" i="1"/>
  <c r="UO8" i="1"/>
  <c r="TZ8" i="1"/>
  <c r="TY8" i="1"/>
  <c r="TO8" i="1"/>
  <c r="TE8" i="1"/>
  <c r="SU8" i="1"/>
  <c r="SK8" i="1"/>
  <c r="RX8" i="1"/>
  <c r="RP8" i="1"/>
  <c r="RO8" i="1"/>
  <c r="RE8" i="1"/>
  <c r="QU8" i="1"/>
  <c r="QK8" i="1"/>
  <c r="QA8" i="1"/>
  <c r="PK8" i="1"/>
  <c r="PJ8" i="1"/>
  <c r="OZ8" i="1"/>
  <c r="OP8" i="1"/>
  <c r="OF8" i="1"/>
  <c r="NV8" i="1"/>
  <c r="NF8" i="1"/>
  <c r="NE8" i="1"/>
  <c r="MU8" i="1"/>
  <c r="MK8" i="1"/>
  <c r="MA8" i="1"/>
  <c r="LQ8" i="1"/>
  <c r="LA8" i="1"/>
  <c r="KZ8" i="1"/>
  <c r="KP8" i="1"/>
  <c r="KF8" i="1"/>
  <c r="JV8" i="1"/>
  <c r="JL8" i="1"/>
  <c r="IY8" i="1"/>
  <c r="IW8" i="1"/>
  <c r="IQ8" i="1"/>
  <c r="IG8" i="1"/>
  <c r="HW8" i="1"/>
  <c r="HM8" i="1"/>
  <c r="HC8" i="1"/>
  <c r="GO8" i="1"/>
  <c r="GF8" i="1"/>
  <c r="FW8" i="1"/>
  <c r="FN8" i="1"/>
  <c r="FE8" i="1"/>
  <c r="EQ8" i="1"/>
  <c r="EH8" i="1"/>
  <c r="DY8" i="1"/>
  <c r="DP8" i="1"/>
  <c r="DG8" i="1"/>
  <c r="CS8" i="1"/>
  <c r="CJ8" i="1"/>
  <c r="CA8" i="1"/>
  <c r="BR8" i="1"/>
  <c r="BI8" i="1"/>
  <c r="AU8" i="1"/>
  <c r="AL8" i="1"/>
  <c r="AC8" i="1"/>
  <c r="T8" i="1"/>
  <c r="K8" i="1"/>
  <c r="AW26" i="1" l="1"/>
  <c r="DG15" i="1"/>
  <c r="RV18" i="1"/>
  <c r="YI18" i="1"/>
  <c r="YK18" i="1" s="1"/>
  <c r="AAK23" i="1"/>
  <c r="AAM23" i="1" s="1"/>
  <c r="UA24" i="1"/>
  <c r="ES25" i="1"/>
  <c r="EU25" i="1" s="1"/>
  <c r="RQ28" i="1"/>
  <c r="Q31" i="1"/>
  <c r="FW31" i="1"/>
  <c r="KF31" i="1"/>
  <c r="CU11" i="1"/>
  <c r="CW11" i="1" s="1"/>
  <c r="ES11" i="1"/>
  <c r="EU11" i="1" s="1"/>
  <c r="PL11" i="1"/>
  <c r="DD31" i="1"/>
  <c r="AW14" i="1"/>
  <c r="RV14" i="1"/>
  <c r="RQ14" i="1"/>
  <c r="RT14" i="1" s="1"/>
  <c r="UA14" i="1"/>
  <c r="ACP14" i="1"/>
  <c r="ACR14" i="1" s="1"/>
  <c r="ES15" i="1"/>
  <c r="EU15" i="1" s="1"/>
  <c r="LB17" i="1"/>
  <c r="WE17" i="1"/>
  <c r="WG17" i="1" s="1"/>
  <c r="AW22" i="1"/>
  <c r="WE22" i="1"/>
  <c r="WG22" i="1" s="1"/>
  <c r="CU23" i="1"/>
  <c r="ES23" i="1"/>
  <c r="RQ23" i="1"/>
  <c r="ES24" i="1"/>
  <c r="EU24" i="1" s="1"/>
  <c r="GQ27" i="1"/>
  <c r="GS27" i="1" s="1"/>
  <c r="RQ27" i="1"/>
  <c r="YI27" i="1"/>
  <c r="YK27" i="1" s="1"/>
  <c r="AAK27" i="1"/>
  <c r="AAM27" i="1" s="1"/>
  <c r="RV28" i="1"/>
  <c r="IX37" i="1"/>
  <c r="IY38" i="1" s="1"/>
  <c r="RQ9" i="1"/>
  <c r="UA9" i="1"/>
  <c r="YI9" i="1"/>
  <c r="YK9" i="1" s="1"/>
  <c r="ACP9" i="1"/>
  <c r="ACR9" i="1" s="1"/>
  <c r="CU10" i="1"/>
  <c r="ES12" i="1"/>
  <c r="EU12" i="1" s="1"/>
  <c r="LB12" i="1"/>
  <c r="AW13" i="1"/>
  <c r="AY13" i="1" s="1"/>
  <c r="CJ16" i="1"/>
  <c r="RV21" i="1"/>
  <c r="AW27" i="1"/>
  <c r="AY27" i="1" s="1"/>
  <c r="GI31" i="1"/>
  <c r="GO17" i="1"/>
  <c r="GQ17" i="1" s="1"/>
  <c r="GS17" i="1" s="1"/>
  <c r="WE23" i="1"/>
  <c r="WG23" i="1" s="1"/>
  <c r="AW24" i="1"/>
  <c r="AY24" i="1" s="1"/>
  <c r="PL28" i="1"/>
  <c r="PO28" i="1" s="1"/>
  <c r="AW29" i="1"/>
  <c r="AY29" i="1" s="1"/>
  <c r="IG31" i="1"/>
  <c r="AW9" i="1"/>
  <c r="NG11" i="1"/>
  <c r="NJ11" i="1" s="1"/>
  <c r="YI11" i="1"/>
  <c r="YK11" i="1" s="1"/>
  <c r="AW12" i="1"/>
  <c r="BX31" i="1"/>
  <c r="QU31" i="1"/>
  <c r="AAK12" i="1"/>
  <c r="AAM12" i="1" s="1"/>
  <c r="GQ13" i="1"/>
  <c r="GS13" i="1" s="1"/>
  <c r="DU31" i="1"/>
  <c r="WE16" i="1"/>
  <c r="WG16" i="1" s="1"/>
  <c r="PL18" i="1"/>
  <c r="PO18" i="1" s="1"/>
  <c r="DP22" i="1"/>
  <c r="DP31" i="1" s="1"/>
  <c r="LB23" i="1"/>
  <c r="RQ26" i="1"/>
  <c r="WE26" i="1"/>
  <c r="WG26" i="1" s="1"/>
  <c r="AW28" i="1"/>
  <c r="RQ8" i="1"/>
  <c r="RS8" i="1" s="1"/>
  <c r="RQ13" i="1"/>
  <c r="RT13" i="1" s="1"/>
  <c r="RT23" i="1"/>
  <c r="RS23" i="1"/>
  <c r="GQ29" i="1"/>
  <c r="GS29" i="1" s="1"/>
  <c r="ES30" i="1"/>
  <c r="ACP30" i="1"/>
  <c r="JL31" i="1"/>
  <c r="PL9" i="1"/>
  <c r="GQ10" i="1"/>
  <c r="AAK11" i="1"/>
  <c r="AAM11" i="1" s="1"/>
  <c r="WE12" i="1"/>
  <c r="WG12" i="1" s="1"/>
  <c r="AAK16" i="1"/>
  <c r="AAM16" i="1" s="1"/>
  <c r="N31" i="1"/>
  <c r="T17" i="1"/>
  <c r="LB22" i="1"/>
  <c r="LD22" i="1" s="1"/>
  <c r="AAK26" i="1"/>
  <c r="AAM26" i="1" s="1"/>
  <c r="WE27" i="1"/>
  <c r="WG27" i="1" s="1"/>
  <c r="UA28" i="1"/>
  <c r="ACP28" i="1"/>
  <c r="ACR28" i="1" s="1"/>
  <c r="VI31" i="1"/>
  <c r="ZP31" i="1"/>
  <c r="ES9" i="1"/>
  <c r="EU9" i="1" s="1"/>
  <c r="RV9" i="1"/>
  <c r="WE9" i="1"/>
  <c r="WG9" i="1" s="1"/>
  <c r="AAK9" i="1"/>
  <c r="AAM9" i="1" s="1"/>
  <c r="AW11" i="1"/>
  <c r="AY11" i="1" s="1"/>
  <c r="RV11" i="1"/>
  <c r="UA11" i="1"/>
  <c r="CA12" i="1"/>
  <c r="CU12" i="1" s="1"/>
  <c r="CW12" i="1" s="1"/>
  <c r="CS12" i="1"/>
  <c r="GQ12" i="1"/>
  <c r="GS12" i="1" s="1"/>
  <c r="RV12" i="1"/>
  <c r="YI15" i="1"/>
  <c r="YK15" i="1" s="1"/>
  <c r="AAK15" i="1"/>
  <c r="AAM15" i="1" s="1"/>
  <c r="DY16" i="1"/>
  <c r="RV19" i="1"/>
  <c r="UA19" i="1"/>
  <c r="UC19" i="1" s="1"/>
  <c r="AW21" i="1"/>
  <c r="GQ21" i="1"/>
  <c r="GS21" i="1" s="1"/>
  <c r="UA21" i="1"/>
  <c r="YI21" i="1"/>
  <c r="YK21" i="1" s="1"/>
  <c r="YI24" i="1"/>
  <c r="YK24" i="1" s="1"/>
  <c r="AAK24" i="1"/>
  <c r="AAM24" i="1" s="1"/>
  <c r="NG25" i="1"/>
  <c r="ACP25" i="1"/>
  <c r="ACR25" i="1" s="1"/>
  <c r="AAK14" i="1"/>
  <c r="AAM14" i="1" s="1"/>
  <c r="GQ15" i="1"/>
  <c r="GS15" i="1" s="1"/>
  <c r="RV16" i="1"/>
  <c r="IW19" i="1"/>
  <c r="NG20" i="1"/>
  <c r="NJ20" i="1" s="1"/>
  <c r="ACP20" i="1"/>
  <c r="ACR20" i="1" s="1"/>
  <c r="CU21" i="1"/>
  <c r="UA22" i="1"/>
  <c r="UC22" i="1" s="1"/>
  <c r="YI22" i="1"/>
  <c r="YK22" i="1" s="1"/>
  <c r="AW23" i="1"/>
  <c r="ACP23" i="1"/>
  <c r="ACR23" i="1" s="1"/>
  <c r="GQ24" i="1"/>
  <c r="GS24" i="1" s="1"/>
  <c r="RV24" i="1"/>
  <c r="RQ24" i="1"/>
  <c r="CU25" i="1"/>
  <c r="CW25" i="1" s="1"/>
  <c r="WE25" i="1"/>
  <c r="WG25" i="1" s="1"/>
  <c r="GQ26" i="1"/>
  <c r="GS26" i="1" s="1"/>
  <c r="RV26" i="1"/>
  <c r="NG27" i="1"/>
  <c r="NJ27" i="1" s="1"/>
  <c r="PL27" i="1"/>
  <c r="PN27" i="1" s="1"/>
  <c r="UA27" i="1"/>
  <c r="ACS27" i="1" s="1"/>
  <c r="ACU27" i="1" s="1"/>
  <c r="ACP27" i="1"/>
  <c r="ACR27" i="1" s="1"/>
  <c r="YI28" i="1"/>
  <c r="YK28" i="1" s="1"/>
  <c r="CU29" i="1"/>
  <c r="CW29" i="1" s="1"/>
  <c r="LB29" i="1"/>
  <c r="LE29" i="1" s="1"/>
  <c r="UA29" i="1"/>
  <c r="YI29" i="1"/>
  <c r="YK29" i="1" s="1"/>
  <c r="ACP29" i="1"/>
  <c r="ACR29" i="1" s="1"/>
  <c r="YI30" i="1"/>
  <c r="IX34" i="1"/>
  <c r="RV13" i="1"/>
  <c r="ACP13" i="1"/>
  <c r="ACR13" i="1" s="1"/>
  <c r="YI14" i="1"/>
  <c r="YK14" i="1" s="1"/>
  <c r="WE15" i="1"/>
  <c r="WG15" i="1" s="1"/>
  <c r="YI17" i="1"/>
  <c r="YK17" i="1" s="1"/>
  <c r="CU18" i="1"/>
  <c r="CW18" i="1" s="1"/>
  <c r="AW19" i="1"/>
  <c r="AY19" i="1" s="1"/>
  <c r="LB21" i="1"/>
  <c r="ACP21" i="1"/>
  <c r="ACR21" i="1" s="1"/>
  <c r="IY31" i="1"/>
  <c r="MA31" i="1"/>
  <c r="TE31" i="1"/>
  <c r="XM31" i="1"/>
  <c r="AAK8" i="1"/>
  <c r="GQ9" i="1"/>
  <c r="GS9" i="1" s="1"/>
  <c r="LB9" i="1"/>
  <c r="LE9" i="1" s="1"/>
  <c r="AW10" i="1"/>
  <c r="AAK10" i="1"/>
  <c r="AAM10" i="1" s="1"/>
  <c r="ACP10" i="1"/>
  <c r="ACR10" i="1" s="1"/>
  <c r="WE11" i="1"/>
  <c r="WG11" i="1" s="1"/>
  <c r="BO31" i="1"/>
  <c r="CG31" i="1"/>
  <c r="UA12" i="1"/>
  <c r="YI12" i="1"/>
  <c r="YK12" i="1" s="1"/>
  <c r="ACP12" i="1"/>
  <c r="ACR12" i="1" s="1"/>
  <c r="UA13" i="1"/>
  <c r="UC13" i="1" s="1"/>
  <c r="GQ14" i="1"/>
  <c r="GS14" i="1" s="1"/>
  <c r="WE14" i="1"/>
  <c r="WG14" i="1" s="1"/>
  <c r="CF31" i="1"/>
  <c r="RV15" i="1"/>
  <c r="RQ15" i="1"/>
  <c r="RT15" i="1" s="1"/>
  <c r="UA15" i="1"/>
  <c r="ACS15" i="1" s="1"/>
  <c r="ACU15" i="1" s="1"/>
  <c r="ACP15" i="1"/>
  <c r="ACR15" i="1" s="1"/>
  <c r="EH16" i="1"/>
  <c r="LB16" i="1"/>
  <c r="LD16" i="1" s="1"/>
  <c r="UA16" i="1"/>
  <c r="UC16" i="1" s="1"/>
  <c r="YI16" i="1"/>
  <c r="YK16" i="1" s="1"/>
  <c r="ACP16" i="1"/>
  <c r="ACR16" i="1" s="1"/>
  <c r="GQ18" i="1"/>
  <c r="GS18" i="1" s="1"/>
  <c r="NG18" i="1"/>
  <c r="ACP18" i="1"/>
  <c r="ACR18" i="1" s="1"/>
  <c r="ES19" i="1"/>
  <c r="RQ19" i="1"/>
  <c r="YI19" i="1"/>
  <c r="YK19" i="1" s="1"/>
  <c r="AAK19" i="1"/>
  <c r="AAM19" i="1" s="1"/>
  <c r="RV20" i="1"/>
  <c r="UA20" i="1"/>
  <c r="UC20" i="1" s="1"/>
  <c r="ES21" i="1"/>
  <c r="EU21" i="1" s="1"/>
  <c r="WE21" i="1"/>
  <c r="WG21" i="1" s="1"/>
  <c r="AAK21" i="1"/>
  <c r="AAM21" i="1" s="1"/>
  <c r="NG22" i="1"/>
  <c r="NI22" i="1" s="1"/>
  <c r="PL22" i="1"/>
  <c r="PN22" i="1" s="1"/>
  <c r="ACP22" i="1"/>
  <c r="ACR22" i="1" s="1"/>
  <c r="GQ23" i="1"/>
  <c r="UA23" i="1"/>
  <c r="YI23" i="1"/>
  <c r="YK23" i="1" s="1"/>
  <c r="WE24" i="1"/>
  <c r="WG24" i="1" s="1"/>
  <c r="LB25" i="1"/>
  <c r="RQ25" i="1"/>
  <c r="RT25" i="1" s="1"/>
  <c r="LB26" i="1"/>
  <c r="LD26" i="1" s="1"/>
  <c r="UA26" i="1"/>
  <c r="YI26" i="1"/>
  <c r="YK26" i="1" s="1"/>
  <c r="ACP26" i="1"/>
  <c r="ACR26" i="1" s="1"/>
  <c r="ES27" i="1"/>
  <c r="EU27" i="1" s="1"/>
  <c r="GQ28" i="1"/>
  <c r="GS28" i="1" s="1"/>
  <c r="LB28" i="1"/>
  <c r="LE28" i="1" s="1"/>
  <c r="WE28" i="1"/>
  <c r="WG28" i="1" s="1"/>
  <c r="AAK28" i="1"/>
  <c r="AAM28" i="1" s="1"/>
  <c r="IY35" i="1"/>
  <c r="NJ22" i="1"/>
  <c r="LD21" i="1"/>
  <c r="LE21" i="1"/>
  <c r="PO9" i="1"/>
  <c r="PN9" i="1"/>
  <c r="NI11" i="1"/>
  <c r="RS13" i="1"/>
  <c r="UC12" i="1"/>
  <c r="AQ31" i="1"/>
  <c r="AU15" i="1"/>
  <c r="GK31" i="1"/>
  <c r="GO16" i="1"/>
  <c r="GQ16" i="1" s="1"/>
  <c r="GS16" i="1" s="1"/>
  <c r="LD17" i="1"/>
  <c r="LE17" i="1"/>
  <c r="PO27" i="1"/>
  <c r="CO31" i="1"/>
  <c r="CS9" i="1"/>
  <c r="CU9" i="1" s="1"/>
  <c r="YI10" i="1"/>
  <c r="YK10" i="1" s="1"/>
  <c r="HM31" i="1"/>
  <c r="AAM8" i="1"/>
  <c r="UB31" i="1"/>
  <c r="ACT11" i="1"/>
  <c r="ACT31" i="1" s="1"/>
  <c r="ES13" i="1"/>
  <c r="EU13" i="1" s="1"/>
  <c r="PL13" i="1"/>
  <c r="AY14" i="1"/>
  <c r="LB14" i="1"/>
  <c r="PL14" i="1"/>
  <c r="LB15" i="1"/>
  <c r="PL15" i="1"/>
  <c r="BA31" i="1"/>
  <c r="BI16" i="1"/>
  <c r="LE16" i="1"/>
  <c r="NG16" i="1"/>
  <c r="RQ16" i="1"/>
  <c r="CD31" i="1"/>
  <c r="CJ17" i="1"/>
  <c r="RQ17" i="1"/>
  <c r="PL20" i="1"/>
  <c r="AY22" i="1"/>
  <c r="RT28" i="1"/>
  <c r="RS28" i="1"/>
  <c r="CU8" i="1"/>
  <c r="RS9" i="1"/>
  <c r="RT9" i="1"/>
  <c r="PN11" i="1"/>
  <c r="PO11" i="1"/>
  <c r="NG12" i="1"/>
  <c r="RW12" i="1" s="1"/>
  <c r="RY12" i="1" s="1"/>
  <c r="NG15" i="1"/>
  <c r="RS19" i="1"/>
  <c r="RT19" i="1"/>
  <c r="PJ31" i="1"/>
  <c r="PL8" i="1"/>
  <c r="WE8" i="1"/>
  <c r="WG8" i="1" s="1"/>
  <c r="ES8" i="1"/>
  <c r="LB8" i="1"/>
  <c r="NG8" i="1"/>
  <c r="UA8" i="1"/>
  <c r="ACC31" i="1"/>
  <c r="ES10" i="1"/>
  <c r="WE10" i="1"/>
  <c r="WG10" i="1" s="1"/>
  <c r="GQ8" i="1"/>
  <c r="RE31" i="1"/>
  <c r="ACP8" i="1"/>
  <c r="NG9" i="1"/>
  <c r="UA10" i="1"/>
  <c r="GQ11" i="1"/>
  <c r="GS11" i="1" s="1"/>
  <c r="LB11" i="1"/>
  <c r="RQ11" i="1"/>
  <c r="ACP11" i="1"/>
  <c r="ACR11" i="1" s="1"/>
  <c r="PL12" i="1"/>
  <c r="CU13" i="1"/>
  <c r="CW13" i="1" s="1"/>
  <c r="LB13" i="1"/>
  <c r="NG13" i="1"/>
  <c r="RS14" i="1"/>
  <c r="RS15" i="1"/>
  <c r="ACS16" i="1"/>
  <c r="ACU16" i="1" s="1"/>
  <c r="RV17" i="1"/>
  <c r="PN18" i="1"/>
  <c r="RQ18" i="1"/>
  <c r="CU19" i="1"/>
  <c r="CW19" i="1" s="1"/>
  <c r="LB19" i="1"/>
  <c r="LD23" i="1"/>
  <c r="LE23" i="1"/>
  <c r="NF31" i="1"/>
  <c r="RV8" i="1"/>
  <c r="RT8" i="1"/>
  <c r="YI8" i="1"/>
  <c r="ACS11" i="1"/>
  <c r="ACU11" i="1" s="1"/>
  <c r="UC11" i="1"/>
  <c r="RQ12" i="1"/>
  <c r="NG14" i="1"/>
  <c r="PL16" i="1"/>
  <c r="AY9" i="1"/>
  <c r="ACS9" i="1"/>
  <c r="ACU9" i="1" s="1"/>
  <c r="UC9" i="1"/>
  <c r="IX11" i="1"/>
  <c r="IZ11" i="1" s="1"/>
  <c r="LD12" i="1"/>
  <c r="LE12" i="1"/>
  <c r="AAK13" i="1"/>
  <c r="AAM13" i="1" s="1"/>
  <c r="UC14" i="1"/>
  <c r="P31" i="1"/>
  <c r="T15" i="1"/>
  <c r="UC15" i="1"/>
  <c r="L31" i="1"/>
  <c r="T16" i="1"/>
  <c r="AW16" i="1" s="1"/>
  <c r="BW31" i="1"/>
  <c r="CA16" i="1"/>
  <c r="AO31" i="1"/>
  <c r="AU17" i="1"/>
  <c r="NJ19" i="1"/>
  <c r="UC23" i="1"/>
  <c r="AC31" i="1"/>
  <c r="CJ31" i="1"/>
  <c r="EQ31" i="1"/>
  <c r="FN31" i="1"/>
  <c r="HW31" i="1"/>
  <c r="JV31" i="1"/>
  <c r="LA31" i="1"/>
  <c r="LQ31" i="1"/>
  <c r="NE31" i="1"/>
  <c r="OZ31" i="1"/>
  <c r="SU31" i="1"/>
  <c r="TZ31" i="1"/>
  <c r="UY31" i="1"/>
  <c r="WD31" i="1"/>
  <c r="XC31" i="1"/>
  <c r="YH31" i="1"/>
  <c r="ZF31" i="1"/>
  <c r="ABS31" i="1"/>
  <c r="BF31" i="1"/>
  <c r="WE13" i="1"/>
  <c r="WG13" i="1" s="1"/>
  <c r="BV31" i="1"/>
  <c r="CA14" i="1"/>
  <c r="BE31" i="1"/>
  <c r="DG16" i="1"/>
  <c r="DG31" i="1" s="1"/>
  <c r="AF31" i="1"/>
  <c r="AL17" i="1"/>
  <c r="AW17" i="1" s="1"/>
  <c r="CA17" i="1"/>
  <c r="EB31" i="1"/>
  <c r="EH17" i="1"/>
  <c r="NG17" i="1"/>
  <c r="NO31" i="1"/>
  <c r="NV17" i="1"/>
  <c r="PL17" i="1" s="1"/>
  <c r="UA17" i="1"/>
  <c r="AAK17" i="1"/>
  <c r="AAM17" i="1" s="1"/>
  <c r="AL18" i="1"/>
  <c r="AAK18" i="1"/>
  <c r="AAM18" i="1" s="1"/>
  <c r="AI31" i="1"/>
  <c r="CU20" i="1"/>
  <c r="CW20" i="1" s="1"/>
  <c r="EH20" i="1"/>
  <c r="ES20" i="1" s="1"/>
  <c r="EU20" i="1" s="1"/>
  <c r="LB20" i="1"/>
  <c r="WE20" i="1"/>
  <c r="PL21" i="1"/>
  <c r="PN21" i="1" s="1"/>
  <c r="CP31" i="1"/>
  <c r="CS22" i="1"/>
  <c r="RV22" i="1"/>
  <c r="RQ22" i="1"/>
  <c r="NG23" i="1"/>
  <c r="UC25" i="1"/>
  <c r="RT26" i="1"/>
  <c r="RS26" i="1"/>
  <c r="WE30" i="1"/>
  <c r="UC24" i="1"/>
  <c r="NI25" i="1"/>
  <c r="NJ25" i="1"/>
  <c r="PL25" i="1"/>
  <c r="AY26" i="1"/>
  <c r="LB27" i="1"/>
  <c r="K31" i="1"/>
  <c r="GF31" i="1"/>
  <c r="IQ31" i="1"/>
  <c r="KP31" i="1"/>
  <c r="MK31" i="1"/>
  <c r="OF31" i="1"/>
  <c r="PK31" i="1"/>
  <c r="QA31" i="1"/>
  <c r="RO31" i="1"/>
  <c r="TO31" i="1"/>
  <c r="VS31" i="1"/>
  <c r="XW31" i="1"/>
  <c r="ZZ31" i="1"/>
  <c r="AAY31" i="1"/>
  <c r="ACM31" i="1"/>
  <c r="DL31" i="1"/>
  <c r="DT31" i="1"/>
  <c r="DY14" i="1"/>
  <c r="ES14" i="1" s="1"/>
  <c r="EU14" i="1" s="1"/>
  <c r="BN31" i="1"/>
  <c r="BR15" i="1"/>
  <c r="CU15" i="1" s="1"/>
  <c r="CW15" i="1" s="1"/>
  <c r="BL31" i="1"/>
  <c r="BR17" i="1"/>
  <c r="CU17" i="1" s="1"/>
  <c r="CW17" i="1" s="1"/>
  <c r="ACP17" i="1"/>
  <c r="ACR17" i="1" s="1"/>
  <c r="ES18" i="1"/>
  <c r="EU18" i="1" s="1"/>
  <c r="LB18" i="1"/>
  <c r="WE18" i="1"/>
  <c r="WG18" i="1" s="1"/>
  <c r="PL19" i="1"/>
  <c r="AAK20" i="1"/>
  <c r="AAM20" i="1" s="1"/>
  <c r="NG21" i="1"/>
  <c r="NI21" i="1" s="1"/>
  <c r="RQ21" i="1"/>
  <c r="RS21" i="1" s="1"/>
  <c r="GQ22" i="1"/>
  <c r="GS22" i="1" s="1"/>
  <c r="AAK22" i="1"/>
  <c r="AAM22" i="1" s="1"/>
  <c r="RV23" i="1"/>
  <c r="PL23" i="1"/>
  <c r="LB24" i="1"/>
  <c r="AM31" i="1"/>
  <c r="AW8" i="1"/>
  <c r="FE31" i="1"/>
  <c r="IW31" i="1"/>
  <c r="KZ31" i="1"/>
  <c r="MU31" i="1"/>
  <c r="OP31" i="1"/>
  <c r="QK31" i="1"/>
  <c r="RP31" i="1"/>
  <c r="SK31" i="1"/>
  <c r="TY31" i="1"/>
  <c r="UO31" i="1"/>
  <c r="WC31" i="1"/>
  <c r="WS31" i="1"/>
  <c r="YG31" i="1"/>
  <c r="YV31" i="1"/>
  <c r="AAJ31" i="1"/>
  <c r="ABI31" i="1"/>
  <c r="YI13" i="1"/>
  <c r="YK13" i="1" s="1"/>
  <c r="BR14" i="1"/>
  <c r="UA18" i="1"/>
  <c r="GQ19" i="1"/>
  <c r="LC31" i="1"/>
  <c r="RX19" i="1"/>
  <c r="RX31" i="1" s="1"/>
  <c r="ACP19" i="1"/>
  <c r="ACR19" i="1" s="1"/>
  <c r="GQ20" i="1"/>
  <c r="GS20" i="1" s="1"/>
  <c r="RQ20" i="1"/>
  <c r="YI20" i="1"/>
  <c r="YK20" i="1" s="1"/>
  <c r="UC21" i="1"/>
  <c r="LE25" i="1"/>
  <c r="LD25" i="1"/>
  <c r="RW25" i="1"/>
  <c r="RY25" i="1" s="1"/>
  <c r="AY28" i="1"/>
  <c r="UC29" i="1"/>
  <c r="AU20" i="1"/>
  <c r="AW20" i="1" s="1"/>
  <c r="NG24" i="1"/>
  <c r="ACP24" i="1"/>
  <c r="ACR24" i="1" s="1"/>
  <c r="GQ25" i="1"/>
  <c r="GS25" i="1" s="1"/>
  <c r="ES26" i="1"/>
  <c r="EU26" i="1" s="1"/>
  <c r="PL26" i="1"/>
  <c r="ES29" i="1"/>
  <c r="EU29" i="1" s="1"/>
  <c r="RV29" i="1"/>
  <c r="AW25" i="1"/>
  <c r="LE26" i="1"/>
  <c r="NG26" i="1"/>
  <c r="RS27" i="1"/>
  <c r="RT27" i="1"/>
  <c r="ES28" i="1"/>
  <c r="EU28" i="1" s="1"/>
  <c r="LD29" i="1"/>
  <c r="BD31" i="1"/>
  <c r="BI24" i="1"/>
  <c r="CU24" i="1" s="1"/>
  <c r="CW24" i="1" s="1"/>
  <c r="PL24" i="1"/>
  <c r="RS25" i="1"/>
  <c r="CU26" i="1"/>
  <c r="CW26" i="1" s="1"/>
  <c r="NI27" i="1"/>
  <c r="UC27" i="1"/>
  <c r="PN28" i="1"/>
  <c r="NG29" i="1"/>
  <c r="RS29" i="1"/>
  <c r="RT29" i="1"/>
  <c r="PL29" i="1"/>
  <c r="CU30" i="1"/>
  <c r="IU31" i="1"/>
  <c r="NG28" i="1"/>
  <c r="CS27" i="1"/>
  <c r="CU27" i="1" s="1"/>
  <c r="CU28" i="1"/>
  <c r="CW28" i="1" s="1"/>
  <c r="AW30" i="1"/>
  <c r="UA30" i="1"/>
  <c r="AAK30" i="1"/>
  <c r="T31" i="1" l="1"/>
  <c r="AL31" i="1"/>
  <c r="RW9" i="1"/>
  <c r="RY9" i="1" s="1"/>
  <c r="IY39" i="1"/>
  <c r="ACS26" i="1"/>
  <c r="ACU26" i="1" s="1"/>
  <c r="ES22" i="1"/>
  <c r="EU22" i="1" s="1"/>
  <c r="IX21" i="1"/>
  <c r="IZ21" i="1" s="1"/>
  <c r="ACS28" i="1"/>
  <c r="ACU28" i="1" s="1"/>
  <c r="RW28" i="1"/>
  <c r="RY28" i="1" s="1"/>
  <c r="LD28" i="1"/>
  <c r="RW22" i="1"/>
  <c r="RY22" i="1" s="1"/>
  <c r="PO22" i="1"/>
  <c r="LD9" i="1"/>
  <c r="ACS12" i="1"/>
  <c r="ACU12" i="1" s="1"/>
  <c r="IX39" i="1"/>
  <c r="IX12" i="1"/>
  <c r="IZ12" i="1" s="1"/>
  <c r="RW29" i="1"/>
  <c r="RY29" i="1" s="1"/>
  <c r="LE22" i="1"/>
  <c r="NI20" i="1"/>
  <c r="IX29" i="1"/>
  <c r="IZ29" i="1" s="1"/>
  <c r="UC26" i="1"/>
  <c r="UC28" i="1"/>
  <c r="IX19" i="1"/>
  <c r="IZ19" i="1" s="1"/>
  <c r="GO31" i="1"/>
  <c r="ACS25" i="1"/>
  <c r="ACU25" i="1" s="1"/>
  <c r="EH31" i="1"/>
  <c r="CA31" i="1"/>
  <c r="ACS23" i="1"/>
  <c r="ACU23" i="1" s="1"/>
  <c r="ACS14" i="1"/>
  <c r="ACU14" i="1" s="1"/>
  <c r="IX10" i="1"/>
  <c r="RW16" i="1"/>
  <c r="RY16" i="1" s="1"/>
  <c r="RW23" i="1"/>
  <c r="RY23" i="1" s="1"/>
  <c r="ACW23" i="1" s="1"/>
  <c r="NJ18" i="1"/>
  <c r="NI18" i="1"/>
  <c r="IX30" i="1"/>
  <c r="ACS29" i="1"/>
  <c r="ACU29" i="1" s="1"/>
  <c r="ACS21" i="1"/>
  <c r="ACU21" i="1" s="1"/>
  <c r="DY31" i="1"/>
  <c r="CS31" i="1"/>
  <c r="ES16" i="1"/>
  <c r="EU16" i="1" s="1"/>
  <c r="RT24" i="1"/>
  <c r="RS24" i="1"/>
  <c r="IX23" i="1"/>
  <c r="CW27" i="1"/>
  <c r="IX27" i="1"/>
  <c r="IZ27" i="1" s="1"/>
  <c r="IX20" i="1"/>
  <c r="IZ20" i="1" s="1"/>
  <c r="AY20" i="1"/>
  <c r="AY17" i="1"/>
  <c r="CW9" i="1"/>
  <c r="IX9" i="1"/>
  <c r="IZ9" i="1" s="1"/>
  <c r="ACW9" i="1" s="1"/>
  <c r="PO17" i="1"/>
  <c r="PN17" i="1"/>
  <c r="PO29" i="1"/>
  <c r="PN29" i="1"/>
  <c r="PN23" i="1"/>
  <c r="PO23" i="1"/>
  <c r="RW27" i="1"/>
  <c r="RY27" i="1" s="1"/>
  <c r="LD27" i="1"/>
  <c r="LE27" i="1"/>
  <c r="RW20" i="1"/>
  <c r="RY20" i="1" s="1"/>
  <c r="LE20" i="1"/>
  <c r="LD20" i="1"/>
  <c r="UC17" i="1"/>
  <c r="ACS17" i="1"/>
  <c r="ACU17" i="1" s="1"/>
  <c r="RS11" i="1"/>
  <c r="RT11" i="1"/>
  <c r="BI31" i="1"/>
  <c r="PN15" i="1"/>
  <c r="PO15" i="1"/>
  <c r="PO19" i="1"/>
  <c r="PN19" i="1"/>
  <c r="BR31" i="1"/>
  <c r="CU14" i="1"/>
  <c r="WE31" i="1"/>
  <c r="WG31" i="1" s="1"/>
  <c r="AU31" i="1"/>
  <c r="AW18" i="1"/>
  <c r="AY16" i="1"/>
  <c r="PN16" i="1"/>
  <c r="PO16" i="1"/>
  <c r="RV31" i="1"/>
  <c r="RW19" i="1"/>
  <c r="RY19" i="1" s="1"/>
  <c r="LE19" i="1"/>
  <c r="LD19" i="1"/>
  <c r="ACS13" i="1"/>
  <c r="ACU13" i="1" s="1"/>
  <c r="PO12" i="1"/>
  <c r="PN12" i="1"/>
  <c r="NG31" i="1"/>
  <c r="NJ31" i="1" s="1"/>
  <c r="NI8" i="1"/>
  <c r="NJ8" i="1"/>
  <c r="NI12" i="1"/>
  <c r="NJ12" i="1"/>
  <c r="PN20" i="1"/>
  <c r="PO20" i="1"/>
  <c r="CU16" i="1"/>
  <c r="CW16" i="1" s="1"/>
  <c r="AAK31" i="1"/>
  <c r="AAM31" i="1" s="1"/>
  <c r="ACS22" i="1"/>
  <c r="ACU22" i="1" s="1"/>
  <c r="PN24" i="1"/>
  <c r="PO24" i="1"/>
  <c r="NI26" i="1"/>
  <c r="NJ26" i="1"/>
  <c r="RW26" i="1"/>
  <c r="RY26" i="1" s="1"/>
  <c r="PO26" i="1"/>
  <c r="PN26" i="1"/>
  <c r="NI24" i="1"/>
  <c r="NJ24" i="1"/>
  <c r="IX28" i="1"/>
  <c r="IZ28" i="1" s="1"/>
  <c r="ACW28" i="1" s="1"/>
  <c r="CU22" i="1"/>
  <c r="RS20" i="1"/>
  <c r="RT20" i="1"/>
  <c r="LE24" i="1"/>
  <c r="LD24" i="1"/>
  <c r="RW24" i="1"/>
  <c r="RY24" i="1" s="1"/>
  <c r="RW18" i="1"/>
  <c r="RY18" i="1" s="1"/>
  <c r="LD18" i="1"/>
  <c r="LE18" i="1"/>
  <c r="PN25" i="1"/>
  <c r="PO25" i="1"/>
  <c r="ACS24" i="1"/>
  <c r="ACU24" i="1" s="1"/>
  <c r="WG20" i="1"/>
  <c r="ACS20" i="1"/>
  <c r="ACU20" i="1" s="1"/>
  <c r="NJ17" i="1"/>
  <c r="NI17" i="1"/>
  <c r="ACS19" i="1"/>
  <c r="ACU19" i="1" s="1"/>
  <c r="AW15" i="1"/>
  <c r="AW31" i="1" s="1"/>
  <c r="AY31" i="1" s="1"/>
  <c r="NI14" i="1"/>
  <c r="NJ14" i="1"/>
  <c r="YI31" i="1"/>
  <c r="YK31" i="1" s="1"/>
  <c r="YK8" i="1"/>
  <c r="NI13" i="1"/>
  <c r="NJ13" i="1"/>
  <c r="ACS10" i="1"/>
  <c r="ACU10" i="1" s="1"/>
  <c r="ACW10" i="1" s="1"/>
  <c r="UC10" i="1"/>
  <c r="LB31" i="1"/>
  <c r="LE31" i="1" s="1"/>
  <c r="LE8" i="1"/>
  <c r="LD8" i="1"/>
  <c r="RW8" i="1"/>
  <c r="CW8" i="1"/>
  <c r="RW17" i="1"/>
  <c r="RY17" i="1" s="1"/>
  <c r="PN14" i="1"/>
  <c r="PO14" i="1"/>
  <c r="PO13" i="1"/>
  <c r="PN13" i="1"/>
  <c r="NV31" i="1"/>
  <c r="RW21" i="1"/>
  <c r="RY21" i="1" s="1"/>
  <c r="IX13" i="1"/>
  <c r="IZ13" i="1" s="1"/>
  <c r="IX24" i="1"/>
  <c r="IZ24" i="1" s="1"/>
  <c r="IX8" i="1"/>
  <c r="AY8" i="1"/>
  <c r="LD13" i="1"/>
  <c r="LE13" i="1"/>
  <c r="RW13" i="1"/>
  <c r="RY13" i="1" s="1"/>
  <c r="NJ9" i="1"/>
  <c r="NI9" i="1"/>
  <c r="EU8" i="1"/>
  <c r="ES17" i="1"/>
  <c r="EU17" i="1" s="1"/>
  <c r="RS17" i="1"/>
  <c r="RT17" i="1"/>
  <c r="LD14" i="1"/>
  <c r="RW14" i="1"/>
  <c r="RY14" i="1" s="1"/>
  <c r="LE14" i="1"/>
  <c r="NI29" i="1"/>
  <c r="NJ29" i="1"/>
  <c r="ACS18" i="1"/>
  <c r="ACU18" i="1" s="1"/>
  <c r="UC18" i="1"/>
  <c r="IX26" i="1"/>
  <c r="IZ26" i="1" s="1"/>
  <c r="ACW26" i="1" s="1"/>
  <c r="RQ31" i="1"/>
  <c r="RT31" i="1" s="1"/>
  <c r="RW11" i="1"/>
  <c r="RY11" i="1" s="1"/>
  <c r="ACW11" i="1" s="1"/>
  <c r="LE11" i="1"/>
  <c r="LD11" i="1"/>
  <c r="ACP31" i="1"/>
  <c r="ACR31" i="1" s="1"/>
  <c r="ACR8" i="1"/>
  <c r="UA31" i="1"/>
  <c r="UC31" i="1" s="1"/>
  <c r="ACS8" i="1"/>
  <c r="UC8" i="1"/>
  <c r="NI15" i="1"/>
  <c r="NJ15" i="1"/>
  <c r="NI16" i="1"/>
  <c r="NJ16" i="1"/>
  <c r="LD15" i="1"/>
  <c r="RW15" i="1"/>
  <c r="RY15" i="1" s="1"/>
  <c r="LE15" i="1"/>
  <c r="ACW12" i="1"/>
  <c r="RT12" i="1"/>
  <c r="RS12" i="1"/>
  <c r="RS18" i="1"/>
  <c r="RT18" i="1"/>
  <c r="GQ31" i="1"/>
  <c r="GS31" i="1" s="1"/>
  <c r="GS8" i="1"/>
  <c r="PL31" i="1"/>
  <c r="PO31" i="1" s="1"/>
  <c r="PN8" i="1"/>
  <c r="PO8" i="1"/>
  <c r="RS16" i="1"/>
  <c r="RT16" i="1"/>
  <c r="ACS30" i="1"/>
  <c r="NI28" i="1"/>
  <c r="NJ28" i="1"/>
  <c r="NJ23" i="1"/>
  <c r="NI23" i="1"/>
  <c r="IX25" i="1"/>
  <c r="IZ25" i="1" s="1"/>
  <c r="AY25" i="1"/>
  <c r="RS22" i="1"/>
  <c r="RT22" i="1"/>
  <c r="ACW21" i="1" l="1"/>
  <c r="ACW29" i="1"/>
  <c r="ACW25" i="1"/>
  <c r="ACW20" i="1"/>
  <c r="ACW19" i="1"/>
  <c r="RS31" i="1"/>
  <c r="ACW24" i="1"/>
  <c r="LD31" i="1"/>
  <c r="CW22" i="1"/>
  <c r="IX22" i="1"/>
  <c r="IZ22" i="1" s="1"/>
  <c r="ACW22" i="1" s="1"/>
  <c r="IX18" i="1"/>
  <c r="IZ18" i="1" s="1"/>
  <c r="ACW18" i="1" s="1"/>
  <c r="AY18" i="1"/>
  <c r="ACW13" i="1"/>
  <c r="ES31" i="1"/>
  <c r="EU31" i="1" s="1"/>
  <c r="IZ8" i="1"/>
  <c r="CU31" i="1"/>
  <c r="CW31" i="1" s="1"/>
  <c r="IX17" i="1"/>
  <c r="IZ17" i="1" s="1"/>
  <c r="ACW17" i="1" s="1"/>
  <c r="ACW27" i="1"/>
  <c r="ACS31" i="1"/>
  <c r="ACU31" i="1" s="1"/>
  <c r="ACU8" i="1"/>
  <c r="PN31" i="1"/>
  <c r="RW31" i="1"/>
  <c r="RY31" i="1" s="1"/>
  <c r="RY8" i="1"/>
  <c r="AY15" i="1"/>
  <c r="IX15" i="1"/>
  <c r="IZ15" i="1" s="1"/>
  <c r="ACW15" i="1" s="1"/>
  <c r="NI31" i="1"/>
  <c r="IX16" i="1"/>
  <c r="IZ16" i="1" s="1"/>
  <c r="ACW16" i="1" s="1"/>
  <c r="CW14" i="1"/>
  <c r="IX14" i="1"/>
  <c r="IZ14" i="1" s="1"/>
  <c r="ACW14" i="1" s="1"/>
  <c r="ACW8" i="1" l="1"/>
  <c r="IX31" i="1"/>
  <c r="IZ31" i="1" s="1"/>
  <c r="ACW31" i="1" s="1"/>
  <c r="GT31" i="1"/>
  <c r="HL31" i="1"/>
  <c r="GY31" i="1"/>
  <c r="HJ31" i="1"/>
  <c r="GV31" i="1"/>
  <c r="IE31" i="1"/>
  <c r="GZ31" i="1"/>
  <c r="GU31" i="1"/>
  <c r="HH31" i="1"/>
  <c r="IP31" i="1"/>
  <c r="ID31" i="1"/>
  <c r="IO31" i="1"/>
  <c r="GW31" i="1"/>
  <c r="HI31" i="1"/>
  <c r="HG31" i="1"/>
  <c r="IF31" i="1"/>
  <c r="HB31" i="1"/>
  <c r="IN31" i="1"/>
  <c r="HF31" i="1"/>
  <c r="HD31" i="1"/>
  <c r="HA31" i="1"/>
  <c r="HK31" i="1"/>
  <c r="GX31" i="1"/>
  <c r="HE31" i="1"/>
  <c r="HC31" i="1"/>
</calcChain>
</file>

<file path=xl/sharedStrings.xml><?xml version="1.0" encoding="utf-8"?>
<sst xmlns="http://schemas.openxmlformats.org/spreadsheetml/2006/main" count="1102" uniqueCount="93">
  <si>
    <t>PRODUCTIVITY    FY19</t>
  </si>
  <si>
    <t xml:space="preserve">INSURANCE BILLING / FU &amp; DENIALS </t>
  </si>
  <si>
    <t>WK-1   WE:07/06/18</t>
  </si>
  <si>
    <t>WK-2      WE:  07/13/18</t>
  </si>
  <si>
    <t>WK -  3      WE: 07/20/18</t>
  </si>
  <si>
    <t>WK -  4     WE: 07/27/18</t>
  </si>
  <si>
    <t>WK-5   NA</t>
  </si>
  <si>
    <t xml:space="preserve">  TOTALS    JULY, 2018</t>
  </si>
  <si>
    <t>JUNE, 2018</t>
  </si>
  <si>
    <t xml:space="preserve">  WK - 1   WE:  06/08/18</t>
  </si>
  <si>
    <t>WK -  2  WE:  06/15/18</t>
  </si>
  <si>
    <t xml:space="preserve">   WK - 2   WE:  06/15/18</t>
  </si>
  <si>
    <t>WK -  3   WE: 06/22/18</t>
  </si>
  <si>
    <t xml:space="preserve"> WK - 3   WE: 06/22/18</t>
  </si>
  <si>
    <t>WK -  4    WE: 06/29/18</t>
  </si>
  <si>
    <t xml:space="preserve">  WK - 4    WE: 06/29/18</t>
  </si>
  <si>
    <t>TOTALS    JUNE, 2018</t>
  </si>
  <si>
    <t>MAY, 2018</t>
  </si>
  <si>
    <t>WK -1    WE: 05/04/18</t>
  </si>
  <si>
    <t>WK -  2    WE: 05/11/18</t>
  </si>
  <si>
    <t>WK -2   WE: 05/11/18</t>
  </si>
  <si>
    <t>WK -  3    WE: 05/18/18</t>
  </si>
  <si>
    <t>WK -3   WE: 05/18/18</t>
  </si>
  <si>
    <t>WK - 4   WE: 05/25/18</t>
  </si>
  <si>
    <t>WK - 5     WE: 06/1/18</t>
  </si>
  <si>
    <t>WK - 5    WE: 06/01/18</t>
  </si>
  <si>
    <t>TOTALS    MAY, 2018</t>
  </si>
  <si>
    <t>EMPLOYEE</t>
  </si>
  <si>
    <t>PPMS_FV</t>
  </si>
  <si>
    <t>PP_FV</t>
  </si>
  <si>
    <t>PAPER CLAIMS</t>
  </si>
  <si>
    <t>SPEC PROJ</t>
  </si>
  <si>
    <t>DENIALS</t>
  </si>
  <si>
    <t>ADJUST</t>
  </si>
  <si>
    <t>AR NOTES</t>
  </si>
  <si>
    <t>WKLY   TOT</t>
  </si>
  <si>
    <t>STANDARD</t>
  </si>
  <si>
    <t>%</t>
  </si>
  <si>
    <t>WKLY TOT</t>
  </si>
  <si>
    <t>WKLY  TOT</t>
  </si>
  <si>
    <t>VARIANCE</t>
  </si>
  <si>
    <t>INS FU</t>
  </si>
  <si>
    <t>DENIAL</t>
  </si>
  <si>
    <t>CODE</t>
  </si>
  <si>
    <t>DAY TOTAL</t>
  </si>
  <si>
    <t>RATING</t>
  </si>
  <si>
    <t>INS</t>
  </si>
  <si>
    <t>Anita Saine</t>
  </si>
  <si>
    <t>Aretina Bates</t>
  </si>
  <si>
    <t>Ashley Ellis</t>
  </si>
  <si>
    <t>NA</t>
  </si>
  <si>
    <t>Betty Payne</t>
  </si>
  <si>
    <t>DEN</t>
  </si>
  <si>
    <t>Dana Whitmire</t>
  </si>
  <si>
    <t>Donna Blaes</t>
  </si>
  <si>
    <t>Elaine Short</t>
  </si>
  <si>
    <t>Elizabeth Lynn</t>
  </si>
  <si>
    <t>Erica Dodd</t>
  </si>
  <si>
    <t>Janice Presley</t>
  </si>
  <si>
    <t>Jennifer Bledsoe</t>
  </si>
  <si>
    <t>Jenny Wathen</t>
  </si>
  <si>
    <t>Julie Tullis</t>
  </si>
  <si>
    <t>Kristy Smith</t>
  </si>
  <si>
    <t>Maria Blair</t>
  </si>
  <si>
    <t>Michelle Cranmore</t>
  </si>
  <si>
    <t>Robin Burton</t>
  </si>
  <si>
    <t>Roxie Johnson</t>
  </si>
  <si>
    <t>Sherri Daniels</t>
  </si>
  <si>
    <t>Telelia Taylor</t>
  </si>
  <si>
    <t>Tonia Hurst</t>
  </si>
  <si>
    <t>Valerie Anderson</t>
  </si>
  <si>
    <t>Verneesa Wright  FMLA</t>
  </si>
  <si>
    <t xml:space="preserve">                                                 </t>
  </si>
  <si>
    <t xml:space="preserve">                 TOTALS</t>
  </si>
  <si>
    <t>TOTALS</t>
  </si>
  <si>
    <t>WK -  2    WE:  06/15/18</t>
  </si>
  <si>
    <t>WK -  4     WE: 06/29/18</t>
  </si>
  <si>
    <t xml:space="preserve">           TOTALS</t>
  </si>
  <si>
    <t>WK - 3  WE: 05/18/18</t>
  </si>
  <si>
    <t>WK - 5  WE: 06/01/18</t>
  </si>
  <si>
    <t>RATINGS</t>
  </si>
  <si>
    <t>100+….Excellent</t>
  </si>
  <si>
    <t xml:space="preserve">  90 - 100....Very Good</t>
  </si>
  <si>
    <t xml:space="preserve">  85 -  90….Good</t>
  </si>
  <si>
    <t xml:space="preserve">  80 - 85….Fair</t>
  </si>
  <si>
    <t xml:space="preserve">  70 - 80….Needs Improvement</t>
  </si>
  <si>
    <t>Below 70….Work Impr Plan</t>
  </si>
  <si>
    <t>NOTE: This productivity is based on "ramp-up" for our new CBO.  All actvities which inlcude claims pre-bill editing, demograpahic error correction - rebilling,  claims status, and denial management (appeal / write-off / move to next resp party) is set at 50 claims per day per staff.   I adjust productivity based on short days, holidays, and PTO days.   I plan to move the standard to 75 claims per day for pre-bill editing, demographic error correction - rebill and claim status in the near future.  Denial management will remain at 50 per day.</t>
  </si>
  <si>
    <t>This productivity log is based on "ramp-up" for a new central business office. All actvities that inlcude claims pre-bill editing, demograpahic error correction - rebilling,  claims status, and denial management (appeal/write-off/move to next responsible party) is set at 50 claims per day per staff. I adjust productivity based on short days, holidays, and PTO days.  I plan to move the standard to 75 claims per day for pre-bill editing, demographic error correction - rebill, and claim status in the near future. Denial management will remain at 50 per day.</t>
  </si>
  <si>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MaryAnn Hastings, director of revenue cycle, CHI Medical Group Enterprise. Used with permission.</t>
    </r>
  </si>
  <si>
    <t>MONTH TOTAL</t>
  </si>
  <si>
    <t xml:space="preserve">EMPLOYEE NAME </t>
  </si>
  <si>
    <t>3 MONTH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</si>
</sst>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0CAD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DFDF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F4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1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8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9" fontId="2" fillId="0" borderId="0" xfId="0" applyNumberFormat="1" applyFont="1"/>
    <xf numFmtId="1" fontId="6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2" fillId="2" borderId="12" xfId="0" applyFont="1" applyFill="1" applyBorder="1" applyAlignment="1">
      <alignment horizontal="center"/>
    </xf>
    <xf numFmtId="3" fontId="2" fillId="0" borderId="13" xfId="0" applyNumberFormat="1" applyFont="1" applyFill="1" applyBorder="1"/>
    <xf numFmtId="0" fontId="2" fillId="2" borderId="5" xfId="0" applyFont="1" applyFill="1" applyBorder="1" applyAlignment="1"/>
    <xf numFmtId="0" fontId="2" fillId="0" borderId="13" xfId="0" applyFont="1" applyBorder="1"/>
    <xf numFmtId="164" fontId="2" fillId="0" borderId="12" xfId="0" applyNumberFormat="1" applyFont="1" applyBorder="1" applyAlignment="1">
      <alignment horizontal="center"/>
    </xf>
    <xf numFmtId="0" fontId="2" fillId="2" borderId="1" xfId="0" applyFont="1" applyFill="1" applyBorder="1" applyAlignment="1"/>
    <xf numFmtId="0" fontId="0" fillId="0" borderId="13" xfId="0" applyFill="1" applyBorder="1" applyAlignment="1"/>
    <xf numFmtId="0" fontId="2" fillId="2" borderId="2" xfId="0" applyFont="1" applyFill="1" applyBorder="1" applyAlignment="1"/>
    <xf numFmtId="0" fontId="0" fillId="0" borderId="23" xfId="0" applyFill="1" applyBorder="1" applyAlignment="1"/>
    <xf numFmtId="165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9" fontId="2" fillId="0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vertical="center"/>
    </xf>
    <xf numFmtId="4" fontId="2" fillId="2" borderId="59" xfId="0" applyNumberFormat="1" applyFont="1" applyFill="1" applyBorder="1" applyAlignment="1">
      <alignment horizontal="center" vertical="center" wrapText="1"/>
    </xf>
    <xf numFmtId="4" fontId="2" fillId="2" borderId="60" xfId="0" applyNumberFormat="1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4" fontId="2" fillId="2" borderId="6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7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9" borderId="70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9" borderId="77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53" xfId="0" applyFill="1" applyBorder="1" applyAlignment="1">
      <alignment vertical="center"/>
    </xf>
    <xf numFmtId="3" fontId="0" fillId="0" borderId="81" xfId="0" applyNumberFormat="1" applyBorder="1" applyAlignment="1">
      <alignment horizontal="left"/>
    </xf>
    <xf numFmtId="3" fontId="7" fillId="0" borderId="82" xfId="0" applyNumberFormat="1" applyFont="1" applyFill="1" applyBorder="1" applyAlignment="1"/>
    <xf numFmtId="3" fontId="0" fillId="10" borderId="83" xfId="0" applyNumberFormat="1" applyFill="1" applyBorder="1" applyAlignment="1">
      <alignment horizontal="right"/>
    </xf>
    <xf numFmtId="3" fontId="0" fillId="10" borderId="51" xfId="0" applyNumberFormat="1" applyFill="1" applyBorder="1" applyAlignment="1">
      <alignment horizontal="right"/>
    </xf>
    <xf numFmtId="3" fontId="0" fillId="10" borderId="84" xfId="0" applyNumberFormat="1" applyFont="1" applyFill="1" applyBorder="1" applyAlignment="1">
      <alignment horizontal="right"/>
    </xf>
    <xf numFmtId="3" fontId="0" fillId="9" borderId="85" xfId="0" applyNumberFormat="1" applyFill="1" applyBorder="1" applyAlignment="1">
      <alignment horizontal="right"/>
    </xf>
    <xf numFmtId="3" fontId="0" fillId="9" borderId="86" xfId="0" applyNumberFormat="1" applyFill="1" applyBorder="1" applyAlignment="1">
      <alignment horizontal="right"/>
    </xf>
    <xf numFmtId="3" fontId="2" fillId="2" borderId="87" xfId="0" applyNumberFormat="1" applyFont="1" applyFill="1" applyBorder="1" applyAlignment="1">
      <alignment horizontal="right"/>
    </xf>
    <xf numFmtId="3" fontId="0" fillId="0" borderId="88" xfId="0" applyNumberFormat="1" applyBorder="1" applyAlignment="1">
      <alignment horizontal="right"/>
    </xf>
    <xf numFmtId="3" fontId="0" fillId="0" borderId="51" xfId="0" applyNumberFormat="1" applyBorder="1" applyAlignment="1">
      <alignment horizontal="right"/>
    </xf>
    <xf numFmtId="3" fontId="0" fillId="0" borderId="84" xfId="0" applyNumberFormat="1" applyFont="1" applyBorder="1" applyAlignment="1">
      <alignment horizontal="right"/>
    </xf>
    <xf numFmtId="3" fontId="0" fillId="5" borderId="88" xfId="0" applyNumberFormat="1" applyFill="1" applyBorder="1" applyAlignment="1">
      <alignment horizontal="right"/>
    </xf>
    <xf numFmtId="3" fontId="0" fillId="5" borderId="51" xfId="0" applyNumberFormat="1" applyFill="1" applyBorder="1" applyAlignment="1">
      <alignment horizontal="right"/>
    </xf>
    <xf numFmtId="3" fontId="0" fillId="5" borderId="84" xfId="0" applyNumberFormat="1" applyFont="1" applyFill="1" applyBorder="1" applyAlignment="1">
      <alignment horizontal="right"/>
    </xf>
    <xf numFmtId="3" fontId="0" fillId="5" borderId="85" xfId="0" applyNumberFormat="1" applyFill="1" applyBorder="1" applyAlignment="1">
      <alignment horizontal="right"/>
    </xf>
    <xf numFmtId="3" fontId="0" fillId="5" borderId="86" xfId="0" applyNumberFormat="1" applyFill="1" applyBorder="1" applyAlignment="1">
      <alignment horizontal="right"/>
    </xf>
    <xf numFmtId="3" fontId="2" fillId="5" borderId="87" xfId="0" applyNumberFormat="1" applyFont="1" applyFill="1" applyBorder="1" applyAlignment="1">
      <alignment horizontal="right"/>
    </xf>
    <xf numFmtId="3" fontId="0" fillId="11" borderId="88" xfId="0" applyNumberFormat="1" applyFill="1" applyBorder="1" applyAlignment="1">
      <alignment horizontal="right"/>
    </xf>
    <xf numFmtId="3" fontId="0" fillId="11" borderId="51" xfId="0" applyNumberFormat="1" applyFill="1" applyBorder="1" applyAlignment="1">
      <alignment horizontal="right"/>
    </xf>
    <xf numFmtId="3" fontId="0" fillId="11" borderId="84" xfId="0" applyNumberFormat="1" applyFont="1" applyFill="1" applyBorder="1" applyAlignment="1">
      <alignment horizontal="right"/>
    </xf>
    <xf numFmtId="3" fontId="0" fillId="11" borderId="85" xfId="0" applyNumberFormat="1" applyFill="1" applyBorder="1" applyAlignment="1">
      <alignment horizontal="right"/>
    </xf>
    <xf numFmtId="3" fontId="0" fillId="11" borderId="86" xfId="0" applyNumberFormat="1" applyFill="1" applyBorder="1" applyAlignment="1">
      <alignment horizontal="right"/>
    </xf>
    <xf numFmtId="3" fontId="0" fillId="11" borderId="87" xfId="0" applyNumberFormat="1" applyFill="1" applyBorder="1" applyAlignment="1">
      <alignment horizontal="right"/>
    </xf>
    <xf numFmtId="3" fontId="7" fillId="11" borderId="88" xfId="0" applyNumberFormat="1" applyFont="1" applyFill="1" applyBorder="1" applyAlignment="1">
      <alignment horizontal="right"/>
    </xf>
    <xf numFmtId="3" fontId="7" fillId="11" borderId="51" xfId="0" applyNumberFormat="1" applyFont="1" applyFill="1" applyBorder="1" applyAlignment="1">
      <alignment horizontal="right"/>
    </xf>
    <xf numFmtId="0" fontId="7" fillId="11" borderId="51" xfId="0" applyFont="1" applyFill="1" applyBorder="1" applyAlignment="1">
      <alignment horizontal="center"/>
    </xf>
    <xf numFmtId="3" fontId="7" fillId="11" borderId="84" xfId="0" applyNumberFormat="1" applyFont="1" applyFill="1" applyBorder="1" applyAlignment="1">
      <alignment horizontal="right"/>
    </xf>
    <xf numFmtId="3" fontId="7" fillId="11" borderId="85" xfId="0" applyNumberFormat="1" applyFont="1" applyFill="1" applyBorder="1" applyAlignment="1">
      <alignment horizontal="right"/>
    </xf>
    <xf numFmtId="3" fontId="7" fillId="11" borderId="86" xfId="0" applyNumberFormat="1" applyFont="1" applyFill="1" applyBorder="1" applyAlignment="1">
      <alignment horizontal="right"/>
    </xf>
    <xf numFmtId="3" fontId="2" fillId="11" borderId="87" xfId="0" applyNumberFormat="1" applyFont="1" applyFill="1" applyBorder="1" applyAlignment="1">
      <alignment horizontal="right"/>
    </xf>
    <xf numFmtId="3" fontId="2" fillId="12" borderId="76" xfId="0" applyNumberFormat="1" applyFont="1" applyFill="1" applyBorder="1" applyAlignment="1">
      <alignment horizontal="right"/>
    </xf>
    <xf numFmtId="3" fontId="2" fillId="12" borderId="51" xfId="0" applyNumberFormat="1" applyFont="1" applyFill="1" applyBorder="1" applyAlignment="1">
      <alignment horizontal="right"/>
    </xf>
    <xf numFmtId="9" fontId="2" fillId="12" borderId="54" xfId="0" applyNumberFormat="1" applyFont="1" applyFill="1" applyBorder="1" applyAlignment="1">
      <alignment horizontal="right"/>
    </xf>
    <xf numFmtId="9" fontId="2" fillId="0" borderId="0" xfId="0" applyNumberFormat="1" applyFont="1" applyFill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2" fillId="2" borderId="89" xfId="0" applyNumberFormat="1" applyFont="1" applyFill="1" applyBorder="1" applyAlignment="1">
      <alignment horizontal="right"/>
    </xf>
    <xf numFmtId="3" fontId="0" fillId="0" borderId="90" xfId="0" applyNumberFormat="1" applyBorder="1" applyAlignment="1">
      <alignment horizontal="right"/>
    </xf>
    <xf numFmtId="3" fontId="0" fillId="2" borderId="87" xfId="0" applyNumberFormat="1" applyFill="1" applyBorder="1" applyAlignment="1">
      <alignment horizontal="right"/>
    </xf>
    <xf numFmtId="0" fontId="0" fillId="10" borderId="51" xfId="0" applyFont="1" applyFill="1" applyBorder="1" applyAlignment="1">
      <alignment horizontal="center"/>
    </xf>
    <xf numFmtId="3" fontId="0" fillId="0" borderId="84" xfId="0" applyNumberFormat="1" applyBorder="1" applyAlignment="1">
      <alignment horizontal="right"/>
    </xf>
    <xf numFmtId="3" fontId="2" fillId="2" borderId="91" xfId="0" applyNumberFormat="1" applyFont="1" applyFill="1" applyBorder="1" applyAlignment="1">
      <alignment horizontal="right"/>
    </xf>
    <xf numFmtId="3" fontId="2" fillId="11" borderId="76" xfId="0" applyNumberFormat="1" applyFont="1" applyFill="1" applyBorder="1" applyAlignment="1">
      <alignment horizontal="right"/>
    </xf>
    <xf numFmtId="3" fontId="2" fillId="11" borderId="51" xfId="0" applyNumberFormat="1" applyFont="1" applyFill="1" applyBorder="1" applyAlignment="1">
      <alignment horizontal="right"/>
    </xf>
    <xf numFmtId="9" fontId="2" fillId="11" borderId="52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2" borderId="91" xfId="0" applyNumberFormat="1" applyFill="1" applyBorder="1" applyAlignment="1">
      <alignment horizontal="right"/>
    </xf>
    <xf numFmtId="3" fontId="0" fillId="0" borderId="76" xfId="0" applyNumberFormat="1" applyBorder="1" applyAlignment="1">
      <alignment horizontal="right"/>
    </xf>
    <xf numFmtId="3" fontId="2" fillId="2" borderId="92" xfId="0" applyNumberFormat="1" applyFont="1" applyFill="1" applyBorder="1" applyAlignment="1">
      <alignment horizontal="right"/>
    </xf>
    <xf numFmtId="3" fontId="2" fillId="13" borderId="76" xfId="0" applyNumberFormat="1" applyFont="1" applyFill="1" applyBorder="1" applyAlignment="1">
      <alignment horizontal="right"/>
    </xf>
    <xf numFmtId="3" fontId="2" fillId="13" borderId="51" xfId="0" applyNumberFormat="1" applyFont="1" applyFill="1" applyBorder="1" applyAlignment="1">
      <alignment horizontal="right"/>
    </xf>
    <xf numFmtId="9" fontId="2" fillId="13" borderId="52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2" fillId="14" borderId="76" xfId="0" applyNumberFormat="1" applyFont="1" applyFill="1" applyBorder="1" applyAlignment="1">
      <alignment horizontal="right"/>
    </xf>
    <xf numFmtId="3" fontId="2" fillId="14" borderId="51" xfId="0" applyNumberFormat="1" applyFont="1" applyFill="1" applyBorder="1" applyAlignment="1">
      <alignment horizontal="right"/>
    </xf>
    <xf numFmtId="9" fontId="2" fillId="14" borderId="54" xfId="0" applyNumberFormat="1" applyFont="1" applyFill="1" applyBorder="1" applyAlignment="1">
      <alignment horizontal="right"/>
    </xf>
    <xf numFmtId="3" fontId="2" fillId="15" borderId="76" xfId="0" applyNumberFormat="1" applyFont="1" applyFill="1" applyBorder="1" applyAlignment="1">
      <alignment horizontal="right"/>
    </xf>
    <xf numFmtId="3" fontId="2" fillId="15" borderId="51" xfId="0" applyNumberFormat="1" applyFont="1" applyFill="1" applyBorder="1" applyAlignment="1">
      <alignment horizontal="right"/>
    </xf>
    <xf numFmtId="9" fontId="2" fillId="15" borderId="54" xfId="0" applyNumberFormat="1" applyFont="1" applyFill="1" applyBorder="1" applyAlignment="1">
      <alignment horizontal="right"/>
    </xf>
    <xf numFmtId="3" fontId="0" fillId="2" borderId="76" xfId="0" applyNumberFormat="1" applyFont="1" applyFill="1" applyBorder="1" applyAlignment="1">
      <alignment horizontal="right"/>
    </xf>
    <xf numFmtId="3" fontId="0" fillId="2" borderId="51" xfId="0" applyNumberFormat="1" applyFont="1" applyFill="1" applyBorder="1" applyAlignment="1">
      <alignment horizontal="right"/>
    </xf>
    <xf numFmtId="9" fontId="0" fillId="2" borderId="54" xfId="0" applyNumberFormat="1" applyFont="1" applyFill="1" applyBorder="1" applyAlignment="1">
      <alignment horizontal="right"/>
    </xf>
    <xf numFmtId="3" fontId="7" fillId="0" borderId="17" xfId="0" applyNumberFormat="1" applyFont="1" applyFill="1" applyBorder="1" applyAlignment="1"/>
    <xf numFmtId="3" fontId="0" fillId="16" borderId="0" xfId="0" applyNumberFormat="1" applyFill="1" applyAlignment="1">
      <alignment horizontal="right"/>
    </xf>
    <xf numFmtId="9" fontId="6" fillId="12" borderId="84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3" fontId="7" fillId="0" borderId="93" xfId="0" applyNumberFormat="1" applyFont="1" applyFill="1" applyBorder="1" applyAlignment="1"/>
    <xf numFmtId="3" fontId="0" fillId="11" borderId="76" xfId="0" applyNumberFormat="1" applyFont="1" applyFill="1" applyBorder="1" applyAlignment="1">
      <alignment horizontal="right"/>
    </xf>
    <xf numFmtId="9" fontId="6" fillId="11" borderId="52" xfId="0" applyNumberFormat="1" applyFont="1" applyFill="1" applyBorder="1" applyAlignment="1">
      <alignment horizontal="right"/>
    </xf>
    <xf numFmtId="3" fontId="0" fillId="0" borderId="13" xfId="0" applyNumberFormat="1" applyBorder="1" applyAlignment="1">
      <alignment horizontal="right"/>
    </xf>
    <xf numFmtId="9" fontId="6" fillId="13" borderId="84" xfId="0" applyNumberFormat="1" applyFont="1" applyFill="1" applyBorder="1" applyAlignment="1">
      <alignment horizontal="right"/>
    </xf>
    <xf numFmtId="3" fontId="0" fillId="14" borderId="76" xfId="0" applyNumberFormat="1" applyFont="1" applyFill="1" applyBorder="1" applyAlignment="1">
      <alignment horizontal="right"/>
    </xf>
    <xf numFmtId="9" fontId="6" fillId="14" borderId="54" xfId="0" applyNumberFormat="1" applyFont="1" applyFill="1" applyBorder="1" applyAlignment="1">
      <alignment horizontal="right"/>
    </xf>
    <xf numFmtId="3" fontId="0" fillId="2" borderId="49" xfId="0" applyNumberFormat="1" applyFont="1" applyFill="1" applyBorder="1" applyAlignment="1">
      <alignment horizontal="center" vertical="center" wrapText="1"/>
    </xf>
    <xf numFmtId="3" fontId="0" fillId="2" borderId="45" xfId="0" applyNumberFormat="1" applyFill="1" applyBorder="1" applyAlignment="1">
      <alignment horizontal="right"/>
    </xf>
    <xf numFmtId="9" fontId="0" fillId="2" borderId="46" xfId="0" applyNumberFormat="1" applyFill="1" applyBorder="1" applyAlignment="1">
      <alignment horizontal="right"/>
    </xf>
    <xf numFmtId="3" fontId="7" fillId="0" borderId="83" xfId="0" applyNumberFormat="1" applyFont="1" applyFill="1" applyBorder="1" applyAlignment="1">
      <alignment horizontal="right"/>
    </xf>
    <xf numFmtId="3" fontId="7" fillId="0" borderId="51" xfId="0" applyNumberFormat="1" applyFont="1" applyFill="1" applyBorder="1" applyAlignment="1">
      <alignment horizontal="right"/>
    </xf>
    <xf numFmtId="3" fontId="7" fillId="0" borderId="84" xfId="0" applyNumberFormat="1" applyFont="1" applyFill="1" applyBorder="1" applyAlignment="1">
      <alignment horizontal="right"/>
    </xf>
    <xf numFmtId="3" fontId="7" fillId="9" borderId="54" xfId="0" applyNumberFormat="1" applyFont="1" applyFill="1" applyBorder="1" applyAlignment="1">
      <alignment horizontal="right"/>
    </xf>
    <xf numFmtId="3" fontId="7" fillId="9" borderId="86" xfId="0" applyNumberFormat="1" applyFont="1" applyFill="1" applyBorder="1" applyAlignment="1">
      <alignment horizontal="right"/>
    </xf>
    <xf numFmtId="3" fontId="7" fillId="0" borderId="89" xfId="0" applyNumberFormat="1" applyFont="1" applyFill="1" applyBorder="1" applyAlignment="1">
      <alignment horizontal="right"/>
    </xf>
    <xf numFmtId="3" fontId="7" fillId="0" borderId="90" xfId="0" applyNumberFormat="1" applyFont="1" applyFill="1" applyBorder="1" applyAlignment="1">
      <alignment horizontal="right"/>
    </xf>
    <xf numFmtId="3" fontId="7" fillId="0" borderId="54" xfId="0" applyNumberFormat="1" applyFont="1" applyFill="1" applyBorder="1" applyAlignment="1">
      <alignment horizontal="right"/>
    </xf>
    <xf numFmtId="3" fontId="7" fillId="0" borderId="86" xfId="0" applyNumberFormat="1" applyFont="1" applyFill="1" applyBorder="1" applyAlignment="1">
      <alignment horizontal="right"/>
    </xf>
    <xf numFmtId="0" fontId="7" fillId="0" borderId="51" xfId="0" applyFont="1" applyFill="1" applyBorder="1" applyAlignment="1">
      <alignment horizontal="center"/>
    </xf>
    <xf numFmtId="3" fontId="7" fillId="0" borderId="91" xfId="0" applyNumberFormat="1" applyFont="1" applyFill="1" applyBorder="1" applyAlignment="1">
      <alignment horizontal="right"/>
    </xf>
    <xf numFmtId="3" fontId="7" fillId="12" borderId="83" xfId="0" applyNumberFormat="1" applyFont="1" applyFill="1" applyBorder="1" applyAlignment="1">
      <alignment horizontal="right"/>
    </xf>
    <xf numFmtId="3" fontId="7" fillId="12" borderId="51" xfId="0" applyNumberFormat="1" applyFont="1" applyFill="1" applyBorder="1" applyAlignment="1">
      <alignment horizontal="right"/>
    </xf>
    <xf numFmtId="9" fontId="7" fillId="12" borderId="54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94" xfId="0" applyNumberFormat="1" applyFont="1" applyFill="1" applyBorder="1" applyAlignment="1"/>
    <xf numFmtId="0" fontId="6" fillId="0" borderId="51" xfId="0" applyFont="1" applyFill="1" applyBorder="1" applyAlignment="1">
      <alignment horizontal="center"/>
    </xf>
    <xf numFmtId="3" fontId="7" fillId="11" borderId="14" xfId="0" applyNumberFormat="1" applyFont="1" applyFill="1" applyBorder="1" applyAlignment="1">
      <alignment horizontal="right"/>
    </xf>
    <xf numFmtId="3" fontId="7" fillId="11" borderId="15" xfId="0" applyNumberFormat="1" applyFont="1" applyFill="1" applyBorder="1" applyAlignment="1">
      <alignment horizontal="right"/>
    </xf>
    <xf numFmtId="9" fontId="7" fillId="11" borderId="16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3" fontId="7" fillId="13" borderId="76" xfId="0" applyNumberFormat="1" applyFont="1" applyFill="1" applyBorder="1" applyAlignment="1">
      <alignment horizontal="right"/>
    </xf>
    <xf numFmtId="3" fontId="7" fillId="13" borderId="51" xfId="0" applyNumberFormat="1" applyFont="1" applyFill="1" applyBorder="1" applyAlignment="1">
      <alignment horizontal="right"/>
    </xf>
    <xf numFmtId="9" fontId="7" fillId="13" borderId="84" xfId="0" applyNumberFormat="1" applyFont="1" applyFill="1" applyBorder="1" applyAlignment="1">
      <alignment horizontal="right"/>
    </xf>
    <xf numFmtId="9" fontId="7" fillId="0" borderId="23" xfId="0" applyNumberFormat="1" applyFont="1" applyFill="1" applyBorder="1" applyAlignment="1">
      <alignment horizontal="right"/>
    </xf>
    <xf numFmtId="3" fontId="7" fillId="0" borderId="76" xfId="0" applyNumberFormat="1" applyFont="1" applyFill="1" applyBorder="1" applyAlignment="1">
      <alignment horizontal="right"/>
    </xf>
    <xf numFmtId="3" fontId="7" fillId="14" borderId="51" xfId="0" applyNumberFormat="1" applyFont="1" applyFill="1" applyBorder="1" applyAlignment="1">
      <alignment horizontal="right"/>
    </xf>
    <xf numFmtId="9" fontId="7" fillId="14" borderId="52" xfId="0" applyNumberFormat="1" applyFont="1" applyFill="1" applyBorder="1" applyAlignment="1">
      <alignment horizontal="right"/>
    </xf>
    <xf numFmtId="3" fontId="7" fillId="0" borderId="32" xfId="0" applyNumberFormat="1" applyFont="1" applyFill="1" applyBorder="1" applyAlignment="1"/>
    <xf numFmtId="3" fontId="7" fillId="0" borderId="95" xfId="0" applyNumberFormat="1" applyFont="1" applyFill="1" applyBorder="1" applyAlignment="1">
      <alignment horizontal="right"/>
    </xf>
    <xf numFmtId="3" fontId="7" fillId="17" borderId="49" xfId="0" applyNumberFormat="1" applyFont="1" applyFill="1" applyBorder="1" applyAlignment="1">
      <alignment horizontal="right"/>
    </xf>
    <xf numFmtId="3" fontId="7" fillId="0" borderId="53" xfId="0" applyNumberFormat="1" applyFont="1" applyFill="1" applyBorder="1" applyAlignment="1">
      <alignment horizontal="right"/>
    </xf>
    <xf numFmtId="3" fontId="7" fillId="17" borderId="51" xfId="0" applyNumberFormat="1" applyFont="1" applyFill="1" applyBorder="1" applyAlignment="1">
      <alignment horizontal="right"/>
    </xf>
    <xf numFmtId="9" fontId="7" fillId="17" borderId="54" xfId="0" applyNumberFormat="1" applyFont="1" applyFill="1" applyBorder="1" applyAlignment="1">
      <alignment horizontal="right"/>
    </xf>
    <xf numFmtId="3" fontId="7" fillId="2" borderId="76" xfId="0" applyNumberFormat="1" applyFont="1" applyFill="1" applyBorder="1" applyAlignment="1">
      <alignment horizontal="right"/>
    </xf>
    <xf numFmtId="3" fontId="7" fillId="2" borderId="51" xfId="0" applyNumberFormat="1" applyFont="1" applyFill="1" applyBorder="1" applyAlignment="1">
      <alignment horizontal="right"/>
    </xf>
    <xf numFmtId="9" fontId="7" fillId="2" borderId="52" xfId="0" applyNumberFormat="1" applyFont="1" applyFill="1" applyBorder="1" applyAlignment="1">
      <alignment horizontal="right"/>
    </xf>
    <xf numFmtId="9" fontId="0" fillId="0" borderId="0" xfId="0" applyNumberFormat="1" applyAlignment="1">
      <alignment horizontal="right"/>
    </xf>
    <xf numFmtId="3" fontId="0" fillId="0" borderId="81" xfId="0" applyNumberFormat="1" applyFill="1" applyBorder="1" applyAlignment="1">
      <alignment horizontal="left"/>
    </xf>
    <xf numFmtId="3" fontId="7" fillId="0" borderId="96" xfId="0" applyNumberFormat="1" applyFont="1" applyFill="1" applyBorder="1" applyAlignment="1"/>
    <xf numFmtId="3" fontId="0" fillId="0" borderId="83" xfId="0" applyNumberFormat="1" applyFill="1" applyBorder="1" applyAlignment="1">
      <alignment horizontal="right"/>
    </xf>
    <xf numFmtId="3" fontId="0" fillId="0" borderId="51" xfId="0" applyNumberFormat="1" applyFill="1" applyBorder="1" applyAlignment="1">
      <alignment horizontal="right"/>
    </xf>
    <xf numFmtId="3" fontId="0" fillId="0" borderId="84" xfId="0" applyNumberFormat="1" applyFont="1" applyFill="1" applyBorder="1" applyAlignment="1">
      <alignment horizontal="right"/>
    </xf>
    <xf numFmtId="3" fontId="0" fillId="0" borderId="88" xfId="0" applyNumberFormat="1" applyFill="1" applyBorder="1" applyAlignment="1">
      <alignment horizontal="right"/>
    </xf>
    <xf numFmtId="0" fontId="0" fillId="0" borderId="51" xfId="0" applyFont="1" applyFill="1" applyBorder="1" applyAlignment="1">
      <alignment horizontal="center"/>
    </xf>
    <xf numFmtId="3" fontId="0" fillId="0" borderId="84" xfId="0" applyNumberFormat="1" applyFill="1" applyBorder="1" applyAlignment="1">
      <alignment horizontal="right"/>
    </xf>
    <xf numFmtId="9" fontId="2" fillId="12" borderId="48" xfId="0" applyNumberFormat="1" applyFont="1" applyFill="1" applyBorder="1" applyAlignment="1">
      <alignment horizontal="right"/>
    </xf>
    <xf numFmtId="3" fontId="0" fillId="0" borderId="90" xfId="0" applyNumberFormat="1" applyFill="1" applyBorder="1" applyAlignment="1">
      <alignment horizontal="right"/>
    </xf>
    <xf numFmtId="3" fontId="0" fillId="2" borderId="87" xfId="0" applyNumberFormat="1" applyFont="1" applyFill="1" applyBorder="1" applyAlignment="1">
      <alignment horizontal="right"/>
    </xf>
    <xf numFmtId="9" fontId="2" fillId="11" borderId="46" xfId="0" applyNumberFormat="1" applyFont="1" applyFill="1" applyBorder="1" applyAlignment="1">
      <alignment horizontal="right"/>
    </xf>
    <xf numFmtId="3" fontId="0" fillId="0" borderId="76" xfId="0" applyNumberFormat="1" applyFill="1" applyBorder="1" applyAlignment="1">
      <alignment horizontal="right"/>
    </xf>
    <xf numFmtId="9" fontId="2" fillId="13" borderId="46" xfId="0" applyNumberFormat="1" applyFont="1" applyFill="1" applyBorder="1" applyAlignment="1">
      <alignment horizontal="right"/>
    </xf>
    <xf numFmtId="9" fontId="2" fillId="14" borderId="48" xfId="0" applyNumberFormat="1" applyFont="1" applyFill="1" applyBorder="1" applyAlignment="1">
      <alignment horizontal="right"/>
    </xf>
    <xf numFmtId="9" fontId="2" fillId="15" borderId="48" xfId="0" applyNumberFormat="1" applyFont="1" applyFill="1" applyBorder="1" applyAlignment="1">
      <alignment horizontal="right"/>
    </xf>
    <xf numFmtId="9" fontId="6" fillId="2" borderId="48" xfId="0" applyNumberFormat="1" applyFont="1" applyFill="1" applyBorder="1" applyAlignment="1">
      <alignment horizontal="right"/>
    </xf>
    <xf numFmtId="9" fontId="0" fillId="0" borderId="0" xfId="0" applyNumberFormat="1" applyFill="1" applyAlignment="1">
      <alignment horizontal="right"/>
    </xf>
    <xf numFmtId="3" fontId="7" fillId="0" borderId="47" xfId="0" applyNumberFormat="1" applyFont="1" applyFill="1" applyBorder="1" applyAlignment="1"/>
    <xf numFmtId="3" fontId="6" fillId="0" borderId="90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3" fontId="6" fillId="0" borderId="84" xfId="0" applyNumberFormat="1" applyFont="1" applyFill="1" applyBorder="1" applyAlignment="1">
      <alignment horizontal="right"/>
    </xf>
    <xf numFmtId="3" fontId="6" fillId="0" borderId="85" xfId="0" applyNumberFormat="1" applyFont="1" applyFill="1" applyBorder="1" applyAlignment="1">
      <alignment horizontal="right"/>
    </xf>
    <xf numFmtId="3" fontId="6" fillId="0" borderId="86" xfId="0" applyNumberFormat="1" applyFont="1" applyFill="1" applyBorder="1" applyAlignment="1">
      <alignment horizontal="right"/>
    </xf>
    <xf numFmtId="3" fontId="6" fillId="0" borderId="87" xfId="0" applyNumberFormat="1" applyFont="1" applyFill="1" applyBorder="1" applyAlignment="1">
      <alignment horizontal="right"/>
    </xf>
    <xf numFmtId="3" fontId="6" fillId="0" borderId="88" xfId="0" applyNumberFormat="1" applyFont="1" applyFill="1" applyBorder="1" applyAlignment="1">
      <alignment horizontal="right"/>
    </xf>
    <xf numFmtId="3" fontId="6" fillId="12" borderId="76" xfId="0" applyNumberFormat="1" applyFont="1" applyFill="1" applyBorder="1" applyAlignment="1">
      <alignment horizontal="right"/>
    </xf>
    <xf numFmtId="3" fontId="6" fillId="12" borderId="51" xfId="0" applyNumberFormat="1" applyFont="1" applyFill="1" applyBorder="1" applyAlignment="1">
      <alignment horizontal="right"/>
    </xf>
    <xf numFmtId="9" fontId="6" fillId="12" borderId="50" xfId="0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/>
    </xf>
    <xf numFmtId="3" fontId="6" fillId="0" borderId="97" xfId="0" applyNumberFormat="1" applyFont="1" applyFill="1" applyBorder="1" applyAlignment="1"/>
    <xf numFmtId="3" fontId="6" fillId="11" borderId="51" xfId="0" applyNumberFormat="1" applyFont="1" applyFill="1" applyBorder="1" applyAlignment="1">
      <alignment horizontal="right"/>
    </xf>
    <xf numFmtId="9" fontId="6" fillId="11" borderId="46" xfId="0" applyNumberFormat="1" applyFont="1" applyFill="1" applyBorder="1" applyAlignment="1">
      <alignment horizontal="right"/>
    </xf>
    <xf numFmtId="3" fontId="6" fillId="13" borderId="51" xfId="0" applyNumberFormat="1" applyFont="1" applyFill="1" applyBorder="1" applyAlignment="1">
      <alignment horizontal="right"/>
    </xf>
    <xf numFmtId="9" fontId="6" fillId="13" borderId="50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45" xfId="0" applyNumberFormat="1" applyFont="1" applyFill="1" applyBorder="1" applyAlignment="1">
      <alignment horizontal="right"/>
    </xf>
    <xf numFmtId="3" fontId="7" fillId="0" borderId="96" xfId="0" applyNumberFormat="1" applyFont="1" applyFill="1" applyBorder="1" applyAlignment="1">
      <alignment horizontal="right"/>
    </xf>
    <xf numFmtId="3" fontId="7" fillId="0" borderId="88" xfId="0" applyNumberFormat="1" applyFont="1" applyFill="1" applyBorder="1" applyAlignment="1">
      <alignment horizontal="right"/>
    </xf>
    <xf numFmtId="3" fontId="7" fillId="0" borderId="85" xfId="0" applyNumberFormat="1" applyFont="1" applyFill="1" applyBorder="1" applyAlignment="1">
      <alignment horizontal="right"/>
    </xf>
    <xf numFmtId="3" fontId="7" fillId="0" borderId="87" xfId="0" applyNumberFormat="1" applyFont="1" applyFill="1" applyBorder="1" applyAlignment="1">
      <alignment horizontal="right"/>
    </xf>
    <xf numFmtId="9" fontId="6" fillId="14" borderId="48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2" borderId="45" xfId="0" applyNumberFormat="1" applyFont="1" applyFill="1" applyBorder="1" applyAlignment="1">
      <alignment horizontal="right"/>
    </xf>
    <xf numFmtId="9" fontId="7" fillId="2" borderId="46" xfId="0" applyNumberFormat="1" applyFont="1" applyFill="1" applyBorder="1" applyAlignment="1">
      <alignment horizontal="right"/>
    </xf>
    <xf numFmtId="3" fontId="7" fillId="12" borderId="47" xfId="0" applyNumberFormat="1" applyFont="1" applyFill="1" applyBorder="1" applyAlignment="1">
      <alignment horizontal="right"/>
    </xf>
    <xf numFmtId="3" fontId="7" fillId="12" borderId="45" xfId="0" applyNumberFormat="1" applyFont="1" applyFill="1" applyBorder="1" applyAlignment="1">
      <alignment horizontal="right"/>
    </xf>
    <xf numFmtId="9" fontId="7" fillId="12" borderId="48" xfId="0" applyNumberFormat="1" applyFont="1" applyFill="1" applyBorder="1" applyAlignment="1">
      <alignment horizontal="right"/>
    </xf>
    <xf numFmtId="3" fontId="6" fillId="0" borderId="98" xfId="0" applyNumberFormat="1" applyFont="1" applyFill="1" applyBorder="1" applyAlignment="1"/>
    <xf numFmtId="3" fontId="6" fillId="0" borderId="83" xfId="0" applyNumberFormat="1" applyFont="1" applyFill="1" applyBorder="1" applyAlignment="1">
      <alignment horizontal="right"/>
    </xf>
    <xf numFmtId="3" fontId="6" fillId="0" borderId="54" xfId="0" applyNumberFormat="1" applyFont="1" applyFill="1" applyBorder="1" applyAlignment="1">
      <alignment horizontal="right"/>
    </xf>
    <xf numFmtId="3" fontId="6" fillId="0" borderId="89" xfId="0" applyNumberFormat="1" applyFont="1" applyFill="1" applyBorder="1" applyAlignment="1">
      <alignment horizontal="right"/>
    </xf>
    <xf numFmtId="3" fontId="7" fillId="11" borderId="49" xfId="0" applyNumberFormat="1" applyFont="1" applyFill="1" applyBorder="1" applyAlignment="1">
      <alignment horizontal="right"/>
    </xf>
    <xf numFmtId="3" fontId="7" fillId="11" borderId="45" xfId="0" applyNumberFormat="1" applyFont="1" applyFill="1" applyBorder="1" applyAlignment="1">
      <alignment horizontal="right"/>
    </xf>
    <xf numFmtId="9" fontId="7" fillId="11" borderId="46" xfId="0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3" fontId="7" fillId="0" borderId="98" xfId="0" applyNumberFormat="1" applyFont="1" applyFill="1" applyBorder="1" applyAlignment="1"/>
    <xf numFmtId="3" fontId="7" fillId="13" borderId="49" xfId="0" applyNumberFormat="1" applyFont="1" applyFill="1" applyBorder="1" applyAlignment="1">
      <alignment horizontal="right"/>
    </xf>
    <xf numFmtId="3" fontId="7" fillId="13" borderId="45" xfId="0" applyNumberFormat="1" applyFont="1" applyFill="1" applyBorder="1" applyAlignment="1">
      <alignment horizontal="right"/>
    </xf>
    <xf numFmtId="9" fontId="7" fillId="13" borderId="50" xfId="0" applyNumberFormat="1" applyFont="1" applyFill="1" applyBorder="1" applyAlignment="1">
      <alignment horizontal="right"/>
    </xf>
    <xf numFmtId="9" fontId="6" fillId="0" borderId="23" xfId="0" applyNumberFormat="1" applyFont="1" applyFill="1" applyBorder="1" applyAlignment="1">
      <alignment horizontal="right"/>
    </xf>
    <xf numFmtId="3" fontId="6" fillId="0" borderId="76" xfId="0" applyNumberFormat="1" applyFont="1" applyFill="1" applyBorder="1" applyAlignment="1">
      <alignment horizontal="right"/>
    </xf>
    <xf numFmtId="3" fontId="7" fillId="14" borderId="45" xfId="0" applyNumberFormat="1" applyFont="1" applyFill="1" applyBorder="1" applyAlignment="1">
      <alignment horizontal="right"/>
    </xf>
    <xf numFmtId="9" fontId="7" fillId="14" borderId="46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3" fontId="7" fillId="17" borderId="45" xfId="0" applyNumberFormat="1" applyFont="1" applyFill="1" applyBorder="1" applyAlignment="1">
      <alignment horizontal="right"/>
    </xf>
    <xf numFmtId="9" fontId="7" fillId="17" borderId="48" xfId="0" applyNumberFormat="1" applyFont="1" applyFill="1" applyBorder="1" applyAlignment="1">
      <alignment horizontal="right"/>
    </xf>
    <xf numFmtId="3" fontId="7" fillId="2" borderId="49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center"/>
    </xf>
    <xf numFmtId="3" fontId="7" fillId="18" borderId="96" xfId="0" applyNumberFormat="1" applyFont="1" applyFill="1" applyBorder="1" applyAlignment="1"/>
    <xf numFmtId="3" fontId="0" fillId="18" borderId="83" xfId="0" applyNumberFormat="1" applyFill="1" applyBorder="1" applyAlignment="1">
      <alignment horizontal="right"/>
    </xf>
    <xf numFmtId="3" fontId="0" fillId="18" borderId="51" xfId="0" applyNumberFormat="1" applyFill="1" applyBorder="1" applyAlignment="1">
      <alignment horizontal="right"/>
    </xf>
    <xf numFmtId="3" fontId="0" fillId="18" borderId="84" xfId="0" applyNumberFormat="1" applyFont="1" applyFill="1" applyBorder="1" applyAlignment="1">
      <alignment horizontal="right"/>
    </xf>
    <xf numFmtId="3" fontId="0" fillId="18" borderId="85" xfId="0" applyNumberFormat="1" applyFill="1" applyBorder="1" applyAlignment="1">
      <alignment horizontal="right"/>
    </xf>
    <xf numFmtId="3" fontId="0" fillId="18" borderId="86" xfId="0" applyNumberFormat="1" applyFill="1" applyBorder="1" applyAlignment="1">
      <alignment horizontal="right"/>
    </xf>
    <xf numFmtId="3" fontId="2" fillId="18" borderId="87" xfId="0" applyNumberFormat="1" applyFont="1" applyFill="1" applyBorder="1" applyAlignment="1">
      <alignment horizontal="right"/>
    </xf>
    <xf numFmtId="3" fontId="0" fillId="18" borderId="88" xfId="0" applyNumberFormat="1" applyFill="1" applyBorder="1" applyAlignment="1">
      <alignment horizontal="right"/>
    </xf>
    <xf numFmtId="3" fontId="0" fillId="18" borderId="87" xfId="0" applyNumberFormat="1" applyFill="1" applyBorder="1" applyAlignment="1">
      <alignment horizontal="right"/>
    </xf>
    <xf numFmtId="0" fontId="0" fillId="18" borderId="51" xfId="0" applyFont="1" applyFill="1" applyBorder="1" applyAlignment="1">
      <alignment horizontal="center"/>
    </xf>
    <xf numFmtId="3" fontId="0" fillId="18" borderId="84" xfId="0" applyNumberFormat="1" applyFill="1" applyBorder="1" applyAlignment="1">
      <alignment horizontal="right"/>
    </xf>
    <xf numFmtId="3" fontId="2" fillId="18" borderId="76" xfId="0" applyNumberFormat="1" applyFont="1" applyFill="1" applyBorder="1" applyAlignment="1">
      <alignment horizontal="right"/>
    </xf>
    <xf numFmtId="3" fontId="2" fillId="18" borderId="51" xfId="0" applyNumberFormat="1" applyFont="1" applyFill="1" applyBorder="1" applyAlignment="1">
      <alignment horizontal="right"/>
    </xf>
    <xf numFmtId="9" fontId="2" fillId="18" borderId="48" xfId="0" applyNumberFormat="1" applyFont="1" applyFill="1" applyBorder="1" applyAlignment="1">
      <alignment horizontal="right"/>
    </xf>
    <xf numFmtId="9" fontId="2" fillId="18" borderId="0" xfId="0" applyNumberFormat="1" applyFont="1" applyFill="1" applyBorder="1" applyAlignment="1">
      <alignment horizontal="right"/>
    </xf>
    <xf numFmtId="3" fontId="2" fillId="18" borderId="89" xfId="0" applyNumberFormat="1" applyFont="1" applyFill="1" applyBorder="1" applyAlignment="1">
      <alignment horizontal="right"/>
    </xf>
    <xf numFmtId="3" fontId="0" fillId="18" borderId="90" xfId="0" applyNumberFormat="1" applyFill="1" applyBorder="1" applyAlignment="1">
      <alignment horizontal="right"/>
    </xf>
    <xf numFmtId="3" fontId="0" fillId="18" borderId="87" xfId="0" applyNumberFormat="1" applyFont="1" applyFill="1" applyBorder="1" applyAlignment="1">
      <alignment horizontal="right"/>
    </xf>
    <xf numFmtId="3" fontId="2" fillId="18" borderId="91" xfId="0" applyNumberFormat="1" applyFont="1" applyFill="1" applyBorder="1" applyAlignment="1">
      <alignment horizontal="right"/>
    </xf>
    <xf numFmtId="9" fontId="2" fillId="18" borderId="46" xfId="0" applyNumberFormat="1" applyFont="1" applyFill="1" applyBorder="1" applyAlignment="1">
      <alignment horizontal="right"/>
    </xf>
    <xf numFmtId="3" fontId="0" fillId="18" borderId="0" xfId="0" applyNumberFormat="1" applyFill="1" applyAlignment="1">
      <alignment horizontal="right"/>
    </xf>
    <xf numFmtId="3" fontId="0" fillId="18" borderId="91" xfId="0" applyNumberFormat="1" applyFill="1" applyBorder="1" applyAlignment="1">
      <alignment horizontal="right"/>
    </xf>
    <xf numFmtId="3" fontId="0" fillId="18" borderId="76" xfId="0" applyNumberFormat="1" applyFill="1" applyBorder="1" applyAlignment="1">
      <alignment horizontal="right"/>
    </xf>
    <xf numFmtId="3" fontId="2" fillId="18" borderId="92" xfId="0" applyNumberFormat="1" applyFont="1" applyFill="1" applyBorder="1" applyAlignment="1">
      <alignment horizontal="right"/>
    </xf>
    <xf numFmtId="3" fontId="0" fillId="18" borderId="76" xfId="0" applyNumberFormat="1" applyFont="1" applyFill="1" applyBorder="1" applyAlignment="1">
      <alignment horizontal="right"/>
    </xf>
    <xf numFmtId="3" fontId="0" fillId="18" borderId="51" xfId="0" applyNumberFormat="1" applyFont="1" applyFill="1" applyBorder="1" applyAlignment="1">
      <alignment horizontal="right"/>
    </xf>
    <xf numFmtId="9" fontId="0" fillId="18" borderId="48" xfId="0" applyNumberFormat="1" applyFont="1" applyFill="1" applyBorder="1" applyAlignment="1">
      <alignment horizontal="right"/>
    </xf>
    <xf numFmtId="9" fontId="0" fillId="18" borderId="0" xfId="0" applyNumberFormat="1" applyFill="1" applyAlignment="1">
      <alignment horizontal="right"/>
    </xf>
    <xf numFmtId="3" fontId="6" fillId="18" borderId="90" xfId="0" applyNumberFormat="1" applyFont="1" applyFill="1" applyBorder="1" applyAlignment="1">
      <alignment horizontal="right"/>
    </xf>
    <xf numFmtId="3" fontId="6" fillId="18" borderId="51" xfId="0" applyNumberFormat="1" applyFont="1" applyFill="1" applyBorder="1" applyAlignment="1">
      <alignment horizontal="right"/>
    </xf>
    <xf numFmtId="3" fontId="6" fillId="18" borderId="84" xfId="0" applyNumberFormat="1" applyFont="1" applyFill="1" applyBorder="1" applyAlignment="1">
      <alignment horizontal="right"/>
    </xf>
    <xf numFmtId="3" fontId="6" fillId="18" borderId="85" xfId="0" applyNumberFormat="1" applyFont="1" applyFill="1" applyBorder="1" applyAlignment="1">
      <alignment horizontal="right"/>
    </xf>
    <xf numFmtId="3" fontId="6" fillId="18" borderId="86" xfId="0" applyNumberFormat="1" applyFont="1" applyFill="1" applyBorder="1" applyAlignment="1">
      <alignment horizontal="right"/>
    </xf>
    <xf numFmtId="3" fontId="6" fillId="18" borderId="87" xfId="0" applyNumberFormat="1" applyFont="1" applyFill="1" applyBorder="1" applyAlignment="1">
      <alignment horizontal="right"/>
    </xf>
    <xf numFmtId="3" fontId="6" fillId="18" borderId="88" xfId="0" applyNumberFormat="1" applyFont="1" applyFill="1" applyBorder="1" applyAlignment="1">
      <alignment horizontal="right"/>
    </xf>
    <xf numFmtId="0" fontId="6" fillId="18" borderId="51" xfId="0" applyFont="1" applyFill="1" applyBorder="1" applyAlignment="1">
      <alignment horizontal="center"/>
    </xf>
    <xf numFmtId="3" fontId="6" fillId="18" borderId="76" xfId="0" applyNumberFormat="1" applyFont="1" applyFill="1" applyBorder="1" applyAlignment="1">
      <alignment horizontal="right"/>
    </xf>
    <xf numFmtId="9" fontId="6" fillId="18" borderId="50" xfId="0" applyNumberFormat="1" applyFont="1" applyFill="1" applyBorder="1" applyAlignment="1">
      <alignment horizontal="right"/>
    </xf>
    <xf numFmtId="3" fontId="6" fillId="18" borderId="13" xfId="0" applyNumberFormat="1" applyFont="1" applyFill="1" applyBorder="1" applyAlignment="1">
      <alignment horizontal="right"/>
    </xf>
    <xf numFmtId="3" fontId="6" fillId="18" borderId="97" xfId="0" applyNumberFormat="1" applyFont="1" applyFill="1" applyBorder="1" applyAlignment="1"/>
    <xf numFmtId="9" fontId="6" fillId="18" borderId="46" xfId="0" applyNumberFormat="1" applyFont="1" applyFill="1" applyBorder="1" applyAlignment="1">
      <alignment horizontal="right"/>
    </xf>
    <xf numFmtId="0" fontId="7" fillId="18" borderId="0" xfId="0" applyFont="1" applyFill="1" applyBorder="1"/>
    <xf numFmtId="3" fontId="7" fillId="18" borderId="45" xfId="0" applyNumberFormat="1" applyFont="1" applyFill="1" applyBorder="1" applyAlignment="1">
      <alignment horizontal="right"/>
    </xf>
    <xf numFmtId="3" fontId="7" fillId="18" borderId="96" xfId="0" applyNumberFormat="1" applyFont="1" applyFill="1" applyBorder="1" applyAlignment="1">
      <alignment horizontal="right"/>
    </xf>
    <xf numFmtId="3" fontId="7" fillId="18" borderId="86" xfId="0" applyNumberFormat="1" applyFont="1" applyFill="1" applyBorder="1" applyAlignment="1">
      <alignment horizontal="right"/>
    </xf>
    <xf numFmtId="3" fontId="7" fillId="18" borderId="88" xfId="0" applyNumberFormat="1" applyFont="1" applyFill="1" applyBorder="1" applyAlignment="1">
      <alignment horizontal="right"/>
    </xf>
    <xf numFmtId="3" fontId="7" fillId="18" borderId="51" xfId="0" applyNumberFormat="1" applyFont="1" applyFill="1" applyBorder="1" applyAlignment="1">
      <alignment horizontal="right"/>
    </xf>
    <xf numFmtId="3" fontId="7" fillId="18" borderId="84" xfId="0" applyNumberFormat="1" applyFont="1" applyFill="1" applyBorder="1" applyAlignment="1">
      <alignment horizontal="right"/>
    </xf>
    <xf numFmtId="3" fontId="7" fillId="18" borderId="85" xfId="0" applyNumberFormat="1" applyFont="1" applyFill="1" applyBorder="1" applyAlignment="1">
      <alignment horizontal="right"/>
    </xf>
    <xf numFmtId="3" fontId="7" fillId="18" borderId="87" xfId="0" applyNumberFormat="1" applyFont="1" applyFill="1" applyBorder="1" applyAlignment="1">
      <alignment horizontal="right"/>
    </xf>
    <xf numFmtId="0" fontId="7" fillId="18" borderId="51" xfId="0" applyFont="1" applyFill="1" applyBorder="1" applyAlignment="1">
      <alignment horizontal="center"/>
    </xf>
    <xf numFmtId="9" fontId="6" fillId="18" borderId="48" xfId="0" applyNumberFormat="1" applyFont="1" applyFill="1" applyBorder="1" applyAlignment="1">
      <alignment horizontal="right"/>
    </xf>
    <xf numFmtId="3" fontId="6" fillId="18" borderId="0" xfId="0" applyNumberFormat="1" applyFont="1" applyFill="1" applyAlignment="1">
      <alignment horizontal="right"/>
    </xf>
    <xf numFmtId="3" fontId="0" fillId="18" borderId="49" xfId="0" applyNumberFormat="1" applyFont="1" applyFill="1" applyBorder="1" applyAlignment="1">
      <alignment horizontal="center" vertical="center" wrapText="1"/>
    </xf>
    <xf numFmtId="9" fontId="7" fillId="18" borderId="46" xfId="0" applyNumberFormat="1" applyFont="1" applyFill="1" applyBorder="1" applyAlignment="1">
      <alignment horizontal="right"/>
    </xf>
    <xf numFmtId="3" fontId="7" fillId="18" borderId="83" xfId="0" applyNumberFormat="1" applyFont="1" applyFill="1" applyBorder="1" applyAlignment="1">
      <alignment horizontal="right"/>
    </xf>
    <xf numFmtId="3" fontId="7" fillId="18" borderId="54" xfId="0" applyNumberFormat="1" applyFont="1" applyFill="1" applyBorder="1" applyAlignment="1">
      <alignment horizontal="right"/>
    </xf>
    <xf numFmtId="3" fontId="7" fillId="18" borderId="89" xfId="0" applyNumberFormat="1" applyFont="1" applyFill="1" applyBorder="1" applyAlignment="1">
      <alignment horizontal="right"/>
    </xf>
    <xf numFmtId="3" fontId="7" fillId="18" borderId="90" xfId="0" applyNumberFormat="1" applyFont="1" applyFill="1" applyBorder="1" applyAlignment="1">
      <alignment horizontal="right"/>
    </xf>
    <xf numFmtId="3" fontId="7" fillId="18" borderId="91" xfId="0" applyNumberFormat="1" applyFont="1" applyFill="1" applyBorder="1" applyAlignment="1">
      <alignment horizontal="right"/>
    </xf>
    <xf numFmtId="3" fontId="7" fillId="18" borderId="47" xfId="0" applyNumberFormat="1" applyFont="1" applyFill="1" applyBorder="1" applyAlignment="1">
      <alignment horizontal="right"/>
    </xf>
    <xf numFmtId="9" fontId="7" fillId="18" borderId="48" xfId="0" applyNumberFormat="1" applyFont="1" applyFill="1" applyBorder="1" applyAlignment="1">
      <alignment horizontal="right"/>
    </xf>
    <xf numFmtId="3" fontId="7" fillId="18" borderId="0" xfId="0" applyNumberFormat="1" applyFont="1" applyFill="1" applyAlignment="1">
      <alignment horizontal="right"/>
    </xf>
    <xf numFmtId="3" fontId="7" fillId="18" borderId="81" xfId="0" applyNumberFormat="1" applyFont="1" applyFill="1" applyBorder="1" applyAlignment="1"/>
    <xf numFmtId="3" fontId="7" fillId="18" borderId="49" xfId="0" applyNumberFormat="1" applyFont="1" applyFill="1" applyBorder="1" applyAlignment="1">
      <alignment horizontal="right"/>
    </xf>
    <xf numFmtId="9" fontId="7" fillId="18" borderId="0" xfId="0" applyNumberFormat="1" applyFont="1" applyFill="1" applyBorder="1" applyAlignment="1">
      <alignment horizontal="right"/>
    </xf>
    <xf numFmtId="3" fontId="7" fillId="18" borderId="0" xfId="0" applyNumberFormat="1" applyFont="1" applyFill="1" applyBorder="1" applyAlignment="1">
      <alignment horizontal="right"/>
    </xf>
    <xf numFmtId="9" fontId="7" fillId="18" borderId="50" xfId="0" applyNumberFormat="1" applyFont="1" applyFill="1" applyBorder="1" applyAlignment="1">
      <alignment horizontal="right"/>
    </xf>
    <xf numFmtId="9" fontId="7" fillId="18" borderId="23" xfId="0" applyNumberFormat="1" applyFont="1" applyFill="1" applyBorder="1" applyAlignment="1">
      <alignment horizontal="right"/>
    </xf>
    <xf numFmtId="3" fontId="7" fillId="18" borderId="76" xfId="0" applyNumberFormat="1" applyFont="1" applyFill="1" applyBorder="1" applyAlignment="1">
      <alignment horizontal="right"/>
    </xf>
    <xf numFmtId="3" fontId="7" fillId="18" borderId="0" xfId="0" applyNumberFormat="1" applyFont="1" applyFill="1" applyBorder="1" applyAlignment="1"/>
    <xf numFmtId="3" fontId="7" fillId="18" borderId="95" xfId="0" applyNumberFormat="1" applyFont="1" applyFill="1" applyBorder="1" applyAlignment="1">
      <alignment horizontal="right"/>
    </xf>
    <xf numFmtId="3" fontId="7" fillId="18" borderId="53" xfId="0" applyNumberFormat="1" applyFont="1" applyFill="1" applyBorder="1" applyAlignment="1">
      <alignment horizontal="right"/>
    </xf>
    <xf numFmtId="1" fontId="6" fillId="18" borderId="0" xfId="0" applyNumberFormat="1" applyFont="1" applyFill="1" applyAlignment="1">
      <alignment horizontal="center"/>
    </xf>
    <xf numFmtId="3" fontId="0" fillId="0" borderId="47" xfId="0" applyNumberFormat="1" applyBorder="1" applyAlignment="1">
      <alignment horizontal="right"/>
    </xf>
    <xf numFmtId="3" fontId="0" fillId="0" borderId="45" xfId="0" applyNumberForma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9" borderId="96" xfId="0" applyNumberFormat="1" applyFill="1" applyBorder="1" applyAlignment="1">
      <alignment horizontal="right"/>
    </xf>
    <xf numFmtId="3" fontId="0" fillId="10" borderId="99" xfId="0" applyNumberFormat="1" applyFill="1" applyBorder="1" applyAlignment="1">
      <alignment horizontal="right"/>
    </xf>
    <xf numFmtId="3" fontId="0" fillId="10" borderId="45" xfId="0" applyNumberFormat="1" applyFill="1" applyBorder="1" applyAlignment="1">
      <alignment horizontal="right"/>
    </xf>
    <xf numFmtId="3" fontId="0" fillId="10" borderId="50" xfId="0" applyNumberFormat="1" applyFont="1" applyFill="1" applyBorder="1" applyAlignment="1">
      <alignment horizontal="right"/>
    </xf>
    <xf numFmtId="3" fontId="0" fillId="5" borderId="99" xfId="0" applyNumberFormat="1" applyFill="1" applyBorder="1" applyAlignment="1">
      <alignment horizontal="right"/>
    </xf>
    <xf numFmtId="3" fontId="0" fillId="5" borderId="45" xfId="0" applyNumberFormat="1" applyFill="1" applyBorder="1" applyAlignment="1">
      <alignment horizontal="right"/>
    </xf>
    <xf numFmtId="3" fontId="0" fillId="5" borderId="50" xfId="0" applyNumberFormat="1" applyFont="1" applyFill="1" applyBorder="1" applyAlignment="1">
      <alignment horizontal="right"/>
    </xf>
    <xf numFmtId="3" fontId="0" fillId="5" borderId="96" xfId="0" applyNumberFormat="1" applyFill="1" applyBorder="1" applyAlignment="1">
      <alignment horizontal="right"/>
    </xf>
    <xf numFmtId="3" fontId="0" fillId="0" borderId="97" xfId="0" applyNumberFormat="1" applyBorder="1" applyAlignment="1">
      <alignment horizontal="right"/>
    </xf>
    <xf numFmtId="3" fontId="0" fillId="0" borderId="99" xfId="0" applyNumberFormat="1" applyBorder="1" applyAlignment="1">
      <alignment horizontal="right"/>
    </xf>
    <xf numFmtId="3" fontId="7" fillId="11" borderId="76" xfId="0" applyNumberFormat="1" applyFont="1" applyFill="1" applyBorder="1" applyAlignment="1">
      <alignment horizontal="right"/>
    </xf>
    <xf numFmtId="9" fontId="8" fillId="19" borderId="48" xfId="0" applyNumberFormat="1" applyFont="1" applyFill="1" applyBorder="1" applyAlignment="1">
      <alignment horizontal="right"/>
    </xf>
    <xf numFmtId="3" fontId="7" fillId="0" borderId="97" xfId="0" applyNumberFormat="1" applyFont="1" applyFill="1" applyBorder="1" applyAlignment="1"/>
    <xf numFmtId="9" fontId="8" fillId="19" borderId="46" xfId="0" applyNumberFormat="1" applyFont="1" applyFill="1" applyBorder="1" applyAlignment="1">
      <alignment horizontal="right"/>
    </xf>
    <xf numFmtId="3" fontId="7" fillId="0" borderId="47" xfId="0" applyNumberFormat="1" applyFont="1" applyFill="1" applyBorder="1" applyAlignment="1">
      <alignment horizontal="right"/>
    </xf>
    <xf numFmtId="3" fontId="7" fillId="0" borderId="50" xfId="0" applyNumberFormat="1" applyFont="1" applyFill="1" applyBorder="1" applyAlignment="1">
      <alignment horizontal="right"/>
    </xf>
    <xf numFmtId="3" fontId="7" fillId="0" borderId="48" xfId="0" applyNumberFormat="1" applyFont="1" applyFill="1" applyBorder="1" applyAlignment="1">
      <alignment horizontal="right"/>
    </xf>
    <xf numFmtId="3" fontId="7" fillId="0" borderId="97" xfId="0" applyNumberFormat="1" applyFont="1" applyFill="1" applyBorder="1" applyAlignment="1">
      <alignment horizontal="right"/>
    </xf>
    <xf numFmtId="3" fontId="7" fillId="0" borderId="49" xfId="0" applyNumberFormat="1" applyFont="1" applyFill="1" applyBorder="1" applyAlignment="1">
      <alignment horizontal="right"/>
    </xf>
    <xf numFmtId="3" fontId="7" fillId="0" borderId="100" xfId="0" applyNumberFormat="1" applyFont="1" applyFill="1" applyBorder="1" applyAlignment="1"/>
    <xf numFmtId="9" fontId="0" fillId="19" borderId="0" xfId="0" applyNumberFormat="1" applyFill="1" applyAlignment="1">
      <alignment horizontal="right"/>
    </xf>
    <xf numFmtId="1" fontId="6" fillId="19" borderId="0" xfId="0" applyNumberFormat="1" applyFont="1" applyFill="1" applyAlignment="1">
      <alignment horizontal="center"/>
    </xf>
    <xf numFmtId="3" fontId="0" fillId="11" borderId="47" xfId="0" applyNumberFormat="1" applyFill="1" applyBorder="1" applyAlignment="1">
      <alignment horizontal="right"/>
    </xf>
    <xf numFmtId="3" fontId="0" fillId="11" borderId="45" xfId="0" applyNumberFormat="1" applyFill="1" applyBorder="1" applyAlignment="1">
      <alignment horizontal="right"/>
    </xf>
    <xf numFmtId="3" fontId="0" fillId="11" borderId="50" xfId="0" applyNumberFormat="1" applyFont="1" applyFill="1" applyBorder="1" applyAlignment="1">
      <alignment horizontal="right"/>
    </xf>
    <xf numFmtId="3" fontId="0" fillId="11" borderId="96" xfId="0" applyNumberFormat="1" applyFill="1" applyBorder="1" applyAlignment="1">
      <alignment horizontal="right"/>
    </xf>
    <xf numFmtId="3" fontId="0" fillId="11" borderId="99" xfId="0" applyNumberFormat="1" applyFill="1" applyBorder="1" applyAlignment="1">
      <alignment horizontal="right"/>
    </xf>
    <xf numFmtId="3" fontId="0" fillId="11" borderId="50" xfId="0" applyNumberFormat="1" applyFill="1" applyBorder="1" applyAlignment="1">
      <alignment horizontal="right"/>
    </xf>
    <xf numFmtId="3" fontId="0" fillId="0" borderId="99" xfId="0" applyNumberFormat="1" applyFill="1" applyBorder="1" applyAlignment="1">
      <alignment horizontal="right"/>
    </xf>
    <xf numFmtId="3" fontId="0" fillId="0" borderId="45" xfId="0" applyNumberFormat="1" applyFill="1" applyBorder="1" applyAlignment="1">
      <alignment horizontal="right"/>
    </xf>
    <xf numFmtId="3" fontId="0" fillId="0" borderId="50" xfId="0" applyNumberFormat="1" applyFont="1" applyFill="1" applyBorder="1" applyAlignment="1">
      <alignment horizontal="right"/>
    </xf>
    <xf numFmtId="3" fontId="0" fillId="0" borderId="50" xfId="0" applyNumberFormat="1" applyFill="1" applyBorder="1" applyAlignment="1">
      <alignment horizontal="right"/>
    </xf>
    <xf numFmtId="3" fontId="7" fillId="11" borderId="99" xfId="0" applyNumberFormat="1" applyFont="1" applyFill="1" applyBorder="1" applyAlignment="1">
      <alignment horizontal="right"/>
    </xf>
    <xf numFmtId="3" fontId="7" fillId="11" borderId="50" xfId="0" applyNumberFormat="1" applyFont="1" applyFill="1" applyBorder="1" applyAlignment="1">
      <alignment horizontal="right"/>
    </xf>
    <xf numFmtId="3" fontId="7" fillId="11" borderId="96" xfId="0" applyNumberFormat="1" applyFont="1" applyFill="1" applyBorder="1" applyAlignment="1">
      <alignment horizontal="right"/>
    </xf>
    <xf numFmtId="3" fontId="0" fillId="11" borderId="49" xfId="0" applyNumberFormat="1" applyFill="1" applyBorder="1" applyAlignment="1">
      <alignment horizontal="right"/>
    </xf>
    <xf numFmtId="3" fontId="2" fillId="13" borderId="45" xfId="0" applyNumberFormat="1" applyFont="1" applyFill="1" applyBorder="1" applyAlignment="1">
      <alignment horizontal="right"/>
    </xf>
    <xf numFmtId="9" fontId="0" fillId="2" borderId="48" xfId="0" applyNumberFormat="1" applyFont="1" applyFill="1" applyBorder="1" applyAlignment="1">
      <alignment horizontal="right"/>
    </xf>
    <xf numFmtId="3" fontId="2" fillId="12" borderId="45" xfId="0" applyNumberFormat="1" applyFont="1" applyFill="1" applyBorder="1" applyAlignment="1">
      <alignment horizontal="right"/>
    </xf>
    <xf numFmtId="3" fontId="2" fillId="11" borderId="45" xfId="0" applyNumberFormat="1" applyFont="1" applyFill="1" applyBorder="1" applyAlignment="1">
      <alignment horizontal="right"/>
    </xf>
    <xf numFmtId="3" fontId="2" fillId="14" borderId="45" xfId="0" applyNumberFormat="1" applyFon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3" fontId="0" fillId="4" borderId="99" xfId="0" applyNumberFormat="1" applyFill="1" applyBorder="1" applyAlignment="1">
      <alignment horizontal="right"/>
    </xf>
    <xf numFmtId="3" fontId="0" fillId="4" borderId="45" xfId="0" applyNumberFormat="1" applyFill="1" applyBorder="1" applyAlignment="1">
      <alignment horizontal="right"/>
    </xf>
    <xf numFmtId="3" fontId="0" fillId="4" borderId="50" xfId="0" applyNumberFormat="1" applyFill="1" applyBorder="1" applyAlignment="1">
      <alignment horizontal="right"/>
    </xf>
    <xf numFmtId="3" fontId="0" fillId="4" borderId="96" xfId="0" applyNumberFormat="1" applyFill="1" applyBorder="1" applyAlignment="1">
      <alignment horizontal="right"/>
    </xf>
    <xf numFmtId="3" fontId="0" fillId="4" borderId="86" xfId="0" applyNumberFormat="1" applyFill="1" applyBorder="1" applyAlignment="1">
      <alignment horizontal="right"/>
    </xf>
    <xf numFmtId="9" fontId="7" fillId="2" borderId="48" xfId="0" applyNumberFormat="1" applyFont="1" applyFill="1" applyBorder="1" applyAlignment="1">
      <alignment horizontal="right"/>
    </xf>
    <xf numFmtId="3" fontId="7" fillId="0" borderId="99" xfId="0" applyNumberFormat="1" applyFont="1" applyFill="1" applyBorder="1" applyAlignment="1">
      <alignment horizontal="right"/>
    </xf>
    <xf numFmtId="3" fontId="6" fillId="12" borderId="45" xfId="0" applyNumberFormat="1" applyFont="1" applyFill="1" applyBorder="1" applyAlignment="1">
      <alignment horizontal="right"/>
    </xf>
    <xf numFmtId="3" fontId="6" fillId="0" borderId="97" xfId="0" applyNumberFormat="1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3" fontId="6" fillId="0" borderId="50" xfId="0" applyNumberFormat="1" applyFont="1" applyFill="1" applyBorder="1" applyAlignment="1">
      <alignment horizontal="right"/>
    </xf>
    <xf numFmtId="3" fontId="6" fillId="0" borderId="96" xfId="0" applyNumberFormat="1" applyFont="1" applyFill="1" applyBorder="1" applyAlignment="1">
      <alignment horizontal="right"/>
    </xf>
    <xf numFmtId="3" fontId="6" fillId="0" borderId="99" xfId="0" applyNumberFormat="1" applyFont="1" applyFill="1" applyBorder="1" applyAlignment="1">
      <alignment horizontal="right"/>
    </xf>
    <xf numFmtId="3" fontId="6" fillId="11" borderId="45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3" fontId="6" fillId="13" borderId="45" xfId="0" applyNumberFormat="1" applyFont="1" applyFill="1" applyBorder="1" applyAlignment="1">
      <alignment horizontal="right"/>
    </xf>
    <xf numFmtId="3" fontId="6" fillId="14" borderId="51" xfId="0" applyNumberFormat="1" applyFont="1" applyFill="1" applyBorder="1" applyAlignment="1">
      <alignment horizontal="right"/>
    </xf>
    <xf numFmtId="3" fontId="6" fillId="14" borderId="45" xfId="0" applyNumberFormat="1" applyFont="1" applyFill="1" applyBorder="1" applyAlignment="1">
      <alignment horizontal="right"/>
    </xf>
    <xf numFmtId="3" fontId="6" fillId="0" borderId="47" xfId="0" applyNumberFormat="1" applyFont="1" applyFill="1" applyBorder="1" applyAlignment="1">
      <alignment horizontal="right"/>
    </xf>
    <xf numFmtId="3" fontId="6" fillId="0" borderId="48" xfId="0" applyNumberFormat="1" applyFont="1" applyFill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3" fontId="6" fillId="0" borderId="100" xfId="0" applyNumberFormat="1" applyFont="1" applyFill="1" applyBorder="1" applyAlignment="1"/>
    <xf numFmtId="3" fontId="0" fillId="10" borderId="45" xfId="0" applyNumberFormat="1" applyFill="1" applyBorder="1" applyAlignment="1">
      <alignment horizontal="center"/>
    </xf>
    <xf numFmtId="3" fontId="0" fillId="14" borderId="96" xfId="0" applyNumberFormat="1" applyFill="1" applyBorder="1" applyAlignment="1">
      <alignment horizontal="right"/>
    </xf>
    <xf numFmtId="3" fontId="0" fillId="14" borderId="86" xfId="0" applyNumberFormat="1" applyFill="1" applyBorder="1" applyAlignment="1">
      <alignment horizontal="right"/>
    </xf>
    <xf numFmtId="3" fontId="0" fillId="0" borderId="50" xfId="0" applyNumberFormat="1" applyBorder="1" applyAlignment="1">
      <alignment horizontal="right"/>
    </xf>
    <xf numFmtId="3" fontId="0" fillId="0" borderId="45" xfId="0" applyNumberFormat="1" applyBorder="1" applyAlignment="1">
      <alignment horizontal="center"/>
    </xf>
    <xf numFmtId="3" fontId="0" fillId="0" borderId="49" xfId="0" applyNumberFormat="1" applyBorder="1" applyAlignment="1">
      <alignment horizontal="right"/>
    </xf>
    <xf numFmtId="3" fontId="7" fillId="0" borderId="45" xfId="0" applyNumberFormat="1" applyFont="1" applyFill="1" applyBorder="1" applyAlignment="1">
      <alignment horizontal="center"/>
    </xf>
    <xf numFmtId="3" fontId="0" fillId="0" borderId="47" xfId="0" applyNumberFormat="1" applyFont="1" applyBorder="1" applyAlignment="1"/>
    <xf numFmtId="3" fontId="0" fillId="0" borderId="97" xfId="0" applyNumberFormat="1" applyBorder="1" applyAlignment="1"/>
    <xf numFmtId="3" fontId="7" fillId="10" borderId="97" xfId="0" applyNumberFormat="1" applyFont="1" applyFill="1" applyBorder="1" applyAlignment="1"/>
    <xf numFmtId="3" fontId="0" fillId="0" borderId="47" xfId="0" applyNumberForma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3" fontId="0" fillId="0" borderId="97" xfId="0" applyNumberFormat="1" applyFill="1" applyBorder="1" applyAlignment="1">
      <alignment horizontal="right"/>
    </xf>
    <xf numFmtId="3" fontId="7" fillId="10" borderId="47" xfId="0" applyNumberFormat="1" applyFont="1" applyFill="1" applyBorder="1" applyAlignment="1"/>
    <xf numFmtId="0" fontId="0" fillId="10" borderId="0" xfId="0" applyFill="1" applyBorder="1" applyAlignment="1"/>
    <xf numFmtId="3" fontId="0" fillId="10" borderId="50" xfId="0" applyNumberFormat="1" applyFill="1" applyBorder="1" applyAlignment="1">
      <alignment horizontal="right"/>
    </xf>
    <xf numFmtId="3" fontId="0" fillId="20" borderId="99" xfId="0" applyNumberFormat="1" applyFill="1" applyBorder="1" applyAlignment="1">
      <alignment horizontal="right"/>
    </xf>
    <xf numFmtId="3" fontId="0" fillId="20" borderId="45" xfId="0" applyNumberFormat="1" applyFill="1" applyBorder="1" applyAlignment="1">
      <alignment horizontal="right"/>
    </xf>
    <xf numFmtId="3" fontId="0" fillId="20" borderId="50" xfId="0" applyNumberFormat="1" applyFont="1" applyFill="1" applyBorder="1" applyAlignment="1">
      <alignment horizontal="right"/>
    </xf>
    <xf numFmtId="3" fontId="0" fillId="20" borderId="96" xfId="0" applyNumberFormat="1" applyFill="1" applyBorder="1" applyAlignment="1">
      <alignment horizontal="right"/>
    </xf>
    <xf numFmtId="3" fontId="0" fillId="20" borderId="86" xfId="0" applyNumberFormat="1" applyFill="1" applyBorder="1" applyAlignment="1">
      <alignment horizontal="right"/>
    </xf>
    <xf numFmtId="3" fontId="2" fillId="20" borderId="87" xfId="0" applyNumberFormat="1" applyFont="1" applyFill="1" applyBorder="1" applyAlignment="1">
      <alignment horizontal="right"/>
    </xf>
    <xf numFmtId="0" fontId="0" fillId="20" borderId="0" xfId="0" applyFill="1" applyBorder="1" applyAlignment="1"/>
    <xf numFmtId="3" fontId="0" fillId="20" borderId="0" xfId="0" applyNumberFormat="1" applyFill="1" applyBorder="1" applyAlignment="1">
      <alignment horizontal="right"/>
    </xf>
    <xf numFmtId="3" fontId="0" fillId="20" borderId="87" xfId="0" applyNumberFormat="1" applyFill="1" applyBorder="1" applyAlignment="1">
      <alignment horizontal="right"/>
    </xf>
    <xf numFmtId="3" fontId="0" fillId="20" borderId="50" xfId="0" applyNumberFormat="1" applyFill="1" applyBorder="1" applyAlignment="1">
      <alignment horizontal="right"/>
    </xf>
    <xf numFmtId="3" fontId="0" fillId="10" borderId="97" xfId="0" applyNumberFormat="1" applyFill="1" applyBorder="1" applyAlignment="1">
      <alignment horizontal="right"/>
    </xf>
    <xf numFmtId="0" fontId="7" fillId="1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3" fontId="0" fillId="11" borderId="45" xfId="0" applyNumberFormat="1" applyFont="1" applyFill="1" applyBorder="1" applyAlignment="1">
      <alignment horizontal="right"/>
    </xf>
    <xf numFmtId="3" fontId="0" fillId="0" borderId="45" xfId="0" applyNumberFormat="1" applyFont="1" applyFill="1" applyBorder="1" applyAlignment="1">
      <alignment horizontal="right"/>
    </xf>
    <xf numFmtId="3" fontId="7" fillId="0" borderId="81" xfId="0" applyNumberFormat="1" applyFont="1" applyBorder="1" applyAlignment="1">
      <alignment horizontal="left"/>
    </xf>
    <xf numFmtId="3" fontId="3" fillId="0" borderId="47" xfId="0" applyNumberFormat="1" applyFont="1" applyBorder="1" applyAlignment="1">
      <alignment horizontal="right"/>
    </xf>
    <xf numFmtId="3" fontId="3" fillId="0" borderId="45" xfId="0" applyNumberFormat="1" applyFont="1" applyBorder="1" applyAlignment="1">
      <alignment horizontal="right"/>
    </xf>
    <xf numFmtId="3" fontId="3" fillId="0" borderId="50" xfId="0" applyNumberFormat="1" applyFont="1" applyBorder="1" applyAlignment="1">
      <alignment horizontal="right"/>
    </xf>
    <xf numFmtId="3" fontId="3" fillId="9" borderId="96" xfId="0" applyNumberFormat="1" applyFont="1" applyFill="1" applyBorder="1" applyAlignment="1">
      <alignment horizontal="right"/>
    </xf>
    <xf numFmtId="3" fontId="3" fillId="9" borderId="86" xfId="0" applyNumberFormat="1" applyFont="1" applyFill="1" applyBorder="1" applyAlignment="1">
      <alignment horizontal="right"/>
    </xf>
    <xf numFmtId="3" fontId="7" fillId="9" borderId="96" xfId="0" applyNumberFormat="1" applyFont="1" applyFill="1" applyBorder="1" applyAlignment="1">
      <alignment horizontal="right"/>
    </xf>
    <xf numFmtId="3" fontId="3" fillId="5" borderId="99" xfId="0" applyNumberFormat="1" applyFont="1" applyFill="1" applyBorder="1" applyAlignment="1">
      <alignment horizontal="right"/>
    </xf>
    <xf numFmtId="3" fontId="3" fillId="5" borderId="45" xfId="0" applyNumberFormat="1" applyFont="1" applyFill="1" applyBorder="1" applyAlignment="1">
      <alignment horizontal="right"/>
    </xf>
    <xf numFmtId="3" fontId="3" fillId="5" borderId="50" xfId="0" applyNumberFormat="1" applyFont="1" applyFill="1" applyBorder="1" applyAlignment="1">
      <alignment horizontal="right"/>
    </xf>
    <xf numFmtId="3" fontId="3" fillId="5" borderId="96" xfId="0" applyNumberFormat="1" applyFont="1" applyFill="1" applyBorder="1" applyAlignment="1">
      <alignment horizontal="right"/>
    </xf>
    <xf numFmtId="3" fontId="3" fillId="5" borderId="86" xfId="0" applyNumberFormat="1" applyFont="1" applyFill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6" fillId="2" borderId="87" xfId="0" applyNumberFormat="1" applyFont="1" applyFill="1" applyBorder="1" applyAlignment="1">
      <alignment horizontal="right"/>
    </xf>
    <xf numFmtId="9" fontId="6" fillId="12" borderId="48" xfId="0" applyNumberFormat="1" applyFont="1" applyFill="1" applyBorder="1" applyAlignment="1">
      <alignment horizontal="right"/>
    </xf>
    <xf numFmtId="9" fontId="1" fillId="0" borderId="0" xfId="0" applyNumberFormat="1" applyFont="1" applyFill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1" fillId="2" borderId="87" xfId="0" applyNumberFormat="1" applyFont="1" applyFill="1" applyBorder="1" applyAlignment="1">
      <alignment horizontal="right"/>
    </xf>
    <xf numFmtId="3" fontId="3" fillId="2" borderId="87" xfId="0" applyNumberFormat="1" applyFont="1" applyFill="1" applyBorder="1" applyAlignment="1">
      <alignment horizontal="right"/>
    </xf>
    <xf numFmtId="3" fontId="3" fillId="21" borderId="99" xfId="0" applyNumberFormat="1" applyFont="1" applyFill="1" applyBorder="1" applyAlignment="1">
      <alignment horizontal="right"/>
    </xf>
    <xf numFmtId="3" fontId="3" fillId="21" borderId="45" xfId="0" applyNumberFormat="1" applyFont="1" applyFill="1" applyBorder="1" applyAlignment="1">
      <alignment horizontal="right"/>
    </xf>
    <xf numFmtId="3" fontId="3" fillId="21" borderId="50" xfId="0" applyNumberFormat="1" applyFont="1" applyFill="1" applyBorder="1" applyAlignment="1">
      <alignment horizontal="right"/>
    </xf>
    <xf numFmtId="3" fontId="3" fillId="21" borderId="96" xfId="0" applyNumberFormat="1" applyFont="1" applyFill="1" applyBorder="1" applyAlignment="1">
      <alignment horizontal="right"/>
    </xf>
    <xf numFmtId="3" fontId="3" fillId="21" borderId="86" xfId="0" applyNumberFormat="1" applyFont="1" applyFill="1" applyBorder="1" applyAlignment="1">
      <alignment horizontal="right"/>
    </xf>
    <xf numFmtId="3" fontId="6" fillId="11" borderId="76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21" borderId="47" xfId="0" applyNumberFormat="1" applyFont="1" applyFill="1" applyBorder="1" applyAlignment="1">
      <alignment horizontal="right"/>
    </xf>
    <xf numFmtId="3" fontId="3" fillId="21" borderId="49" xfId="0" applyNumberFormat="1" applyFont="1" applyFill="1" applyBorder="1" applyAlignment="1">
      <alignment horizontal="right"/>
    </xf>
    <xf numFmtId="3" fontId="6" fillId="13" borderId="76" xfId="0" applyNumberFormat="1" applyFont="1" applyFill="1" applyBorder="1" applyAlignment="1">
      <alignment horizontal="right"/>
    </xf>
    <xf numFmtId="9" fontId="6" fillId="13" borderId="46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14" borderId="76" xfId="0" applyNumberFormat="1" applyFont="1" applyFill="1" applyBorder="1" applyAlignment="1">
      <alignment horizontal="right"/>
    </xf>
    <xf numFmtId="3" fontId="3" fillId="0" borderId="99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3" fontId="3" fillId="0" borderId="50" xfId="0" applyNumberFormat="1" applyFont="1" applyFill="1" applyBorder="1" applyAlignment="1">
      <alignment horizontal="right"/>
    </xf>
    <xf numFmtId="3" fontId="1" fillId="15" borderId="76" xfId="0" applyNumberFormat="1" applyFont="1" applyFill="1" applyBorder="1" applyAlignment="1">
      <alignment horizontal="right"/>
    </xf>
    <xf numFmtId="3" fontId="1" fillId="15" borderId="51" xfId="0" applyNumberFormat="1" applyFont="1" applyFill="1" applyBorder="1" applyAlignment="1">
      <alignment horizontal="right"/>
    </xf>
    <xf numFmtId="9" fontId="1" fillId="15" borderId="48" xfId="0" applyNumberFormat="1" applyFont="1" applyFill="1" applyBorder="1" applyAlignment="1">
      <alignment horizontal="right"/>
    </xf>
    <xf numFmtId="3" fontId="0" fillId="21" borderId="99" xfId="0" applyNumberFormat="1" applyFill="1" applyBorder="1" applyAlignment="1">
      <alignment horizontal="right"/>
    </xf>
    <xf numFmtId="3" fontId="0" fillId="21" borderId="45" xfId="0" applyNumberFormat="1" applyFill="1" applyBorder="1" applyAlignment="1">
      <alignment horizontal="right"/>
    </xf>
    <xf numFmtId="3" fontId="0" fillId="21" borderId="50" xfId="0" applyNumberFormat="1" applyFill="1" applyBorder="1" applyAlignment="1">
      <alignment horizontal="right"/>
    </xf>
    <xf numFmtId="3" fontId="0" fillId="21" borderId="96" xfId="0" applyNumberFormat="1" applyFill="1" applyBorder="1" applyAlignment="1">
      <alignment horizontal="right"/>
    </xf>
    <xf numFmtId="3" fontId="0" fillId="21" borderId="86" xfId="0" applyNumberFormat="1" applyFill="1" applyBorder="1" applyAlignment="1">
      <alignment horizontal="right"/>
    </xf>
    <xf numFmtId="3" fontId="3" fillId="20" borderId="99" xfId="0" applyNumberFormat="1" applyFont="1" applyFill="1" applyBorder="1" applyAlignment="1">
      <alignment horizontal="right"/>
    </xf>
    <xf numFmtId="3" fontId="3" fillId="20" borderId="45" xfId="0" applyNumberFormat="1" applyFont="1" applyFill="1" applyBorder="1" applyAlignment="1">
      <alignment horizontal="right"/>
    </xf>
    <xf numFmtId="3" fontId="3" fillId="20" borderId="50" xfId="0" applyNumberFormat="1" applyFont="1" applyFill="1" applyBorder="1" applyAlignment="1">
      <alignment horizontal="right"/>
    </xf>
    <xf numFmtId="3" fontId="3" fillId="20" borderId="96" xfId="0" applyNumberFormat="1" applyFont="1" applyFill="1" applyBorder="1" applyAlignment="1">
      <alignment horizontal="right"/>
    </xf>
    <xf numFmtId="3" fontId="3" fillId="20" borderId="86" xfId="0" applyNumberFormat="1" applyFont="1" applyFill="1" applyBorder="1" applyAlignment="1">
      <alignment horizontal="right"/>
    </xf>
    <xf numFmtId="3" fontId="0" fillId="4" borderId="50" xfId="0" applyNumberFormat="1" applyFont="1" applyFill="1" applyBorder="1" applyAlignment="1">
      <alignment horizontal="right"/>
    </xf>
    <xf numFmtId="3" fontId="2" fillId="4" borderId="87" xfId="0" applyNumberFormat="1" applyFont="1" applyFill="1" applyBorder="1" applyAlignment="1">
      <alignment horizontal="right"/>
    </xf>
    <xf numFmtId="3" fontId="0" fillId="21" borderId="47" xfId="0" applyNumberFormat="1" applyFill="1" applyBorder="1" applyAlignment="1">
      <alignment horizontal="right"/>
    </xf>
    <xf numFmtId="3" fontId="0" fillId="21" borderId="50" xfId="0" applyNumberFormat="1" applyFont="1" applyFill="1" applyBorder="1" applyAlignment="1">
      <alignment horizontal="right"/>
    </xf>
    <xf numFmtId="3" fontId="2" fillId="21" borderId="87" xfId="0" applyNumberFormat="1" applyFont="1" applyFill="1" applyBorder="1" applyAlignment="1">
      <alignment horizontal="right"/>
    </xf>
    <xf numFmtId="3" fontId="0" fillId="21" borderId="97" xfId="0" applyNumberFormat="1" applyFill="1" applyBorder="1" applyAlignment="1">
      <alignment horizontal="right"/>
    </xf>
    <xf numFmtId="3" fontId="0" fillId="21" borderId="87" xfId="0" applyNumberFormat="1" applyFill="1" applyBorder="1" applyAlignment="1">
      <alignment horizontal="right"/>
    </xf>
    <xf numFmtId="3" fontId="0" fillId="9" borderId="50" xfId="0" applyNumberFormat="1" applyFont="1" applyFill="1" applyBorder="1" applyAlignment="1">
      <alignment horizontal="right"/>
    </xf>
    <xf numFmtId="3" fontId="7" fillId="18" borderId="47" xfId="0" applyNumberFormat="1" applyFont="1" applyFill="1" applyBorder="1" applyAlignment="1"/>
    <xf numFmtId="3" fontId="0" fillId="18" borderId="47" xfId="0" applyNumberFormat="1" applyFill="1" applyBorder="1" applyAlignment="1">
      <alignment horizontal="right"/>
    </xf>
    <xf numFmtId="3" fontId="0" fillId="18" borderId="45" xfId="0" applyNumberFormat="1" applyFill="1" applyBorder="1" applyAlignment="1">
      <alignment horizontal="right"/>
    </xf>
    <xf numFmtId="3" fontId="3" fillId="18" borderId="45" xfId="0" applyNumberFormat="1" applyFont="1" applyFill="1" applyBorder="1" applyAlignment="1">
      <alignment horizontal="right"/>
    </xf>
    <xf numFmtId="3" fontId="0" fillId="18" borderId="50" xfId="0" applyNumberFormat="1" applyFont="1" applyFill="1" applyBorder="1" applyAlignment="1">
      <alignment horizontal="right"/>
    </xf>
    <xf numFmtId="3" fontId="0" fillId="18" borderId="96" xfId="0" applyNumberFormat="1" applyFill="1" applyBorder="1" applyAlignment="1">
      <alignment horizontal="right"/>
    </xf>
    <xf numFmtId="3" fontId="0" fillId="18" borderId="99" xfId="0" applyNumberFormat="1" applyFill="1" applyBorder="1" applyAlignment="1">
      <alignment horizontal="right"/>
    </xf>
    <xf numFmtId="3" fontId="0" fillId="18" borderId="0" xfId="0" applyNumberFormat="1" applyFill="1" applyBorder="1" applyAlignment="1">
      <alignment horizontal="right"/>
    </xf>
    <xf numFmtId="3" fontId="0" fillId="18" borderId="50" xfId="0" applyNumberFormat="1" applyFill="1" applyBorder="1" applyAlignment="1">
      <alignment horizontal="right"/>
    </xf>
    <xf numFmtId="3" fontId="0" fillId="18" borderId="97" xfId="0" applyNumberFormat="1" applyFill="1" applyBorder="1" applyAlignment="1">
      <alignment horizontal="right"/>
    </xf>
    <xf numFmtId="3" fontId="0" fillId="18" borderId="49" xfId="0" applyNumberFormat="1" applyFill="1" applyBorder="1" applyAlignment="1">
      <alignment horizontal="right"/>
    </xf>
    <xf numFmtId="3" fontId="2" fillId="18" borderId="45" xfId="0" applyNumberFormat="1" applyFont="1" applyFill="1" applyBorder="1" applyAlignment="1">
      <alignment horizontal="right"/>
    </xf>
    <xf numFmtId="3" fontId="6" fillId="18" borderId="97" xfId="0" applyNumberFormat="1" applyFont="1" applyFill="1" applyBorder="1" applyAlignment="1">
      <alignment horizontal="right"/>
    </xf>
    <xf numFmtId="3" fontId="6" fillId="18" borderId="45" xfId="0" applyNumberFormat="1" applyFont="1" applyFill="1" applyBorder="1" applyAlignment="1">
      <alignment horizontal="right"/>
    </xf>
    <xf numFmtId="3" fontId="6" fillId="18" borderId="50" xfId="0" applyNumberFormat="1" applyFont="1" applyFill="1" applyBorder="1" applyAlignment="1">
      <alignment horizontal="right"/>
    </xf>
    <xf numFmtId="3" fontId="6" fillId="18" borderId="96" xfId="0" applyNumberFormat="1" applyFont="1" applyFill="1" applyBorder="1" applyAlignment="1">
      <alignment horizontal="right"/>
    </xf>
    <xf numFmtId="3" fontId="6" fillId="18" borderId="99" xfId="0" applyNumberFormat="1" applyFont="1" applyFill="1" applyBorder="1" applyAlignment="1">
      <alignment horizontal="right"/>
    </xf>
    <xf numFmtId="3" fontId="7" fillId="18" borderId="99" xfId="0" applyNumberFormat="1" applyFont="1" applyFill="1" applyBorder="1" applyAlignment="1">
      <alignment horizontal="right"/>
    </xf>
    <xf numFmtId="3" fontId="7" fillId="18" borderId="50" xfId="0" applyNumberFormat="1" applyFont="1" applyFill="1" applyBorder="1" applyAlignment="1">
      <alignment horizontal="right"/>
    </xf>
    <xf numFmtId="3" fontId="6" fillId="18" borderId="47" xfId="0" applyNumberFormat="1" applyFont="1" applyFill="1" applyBorder="1" applyAlignment="1">
      <alignment horizontal="right"/>
    </xf>
    <xf numFmtId="3" fontId="6" fillId="18" borderId="48" xfId="0" applyNumberFormat="1" applyFont="1" applyFill="1" applyBorder="1" applyAlignment="1">
      <alignment horizontal="right"/>
    </xf>
    <xf numFmtId="3" fontId="7" fillId="18" borderId="97" xfId="0" applyNumberFormat="1" applyFont="1" applyFill="1" applyBorder="1" applyAlignment="1">
      <alignment horizontal="right"/>
    </xf>
    <xf numFmtId="3" fontId="7" fillId="18" borderId="48" xfId="0" applyNumberFormat="1" applyFont="1" applyFill="1" applyBorder="1" applyAlignment="1">
      <alignment horizontal="right"/>
    </xf>
    <xf numFmtId="3" fontId="6" fillId="18" borderId="98" xfId="0" applyNumberFormat="1" applyFont="1" applyFill="1" applyBorder="1" applyAlignment="1"/>
    <xf numFmtId="3" fontId="6" fillId="18" borderId="89" xfId="0" applyNumberFormat="1" applyFont="1" applyFill="1" applyBorder="1" applyAlignment="1">
      <alignment horizontal="right"/>
    </xf>
    <xf numFmtId="9" fontId="6" fillId="18" borderId="0" xfId="0" applyNumberFormat="1" applyFont="1" applyFill="1" applyBorder="1" applyAlignment="1">
      <alignment horizontal="right"/>
    </xf>
    <xf numFmtId="3" fontId="7" fillId="18" borderId="98" xfId="0" applyNumberFormat="1" applyFont="1" applyFill="1" applyBorder="1" applyAlignment="1"/>
    <xf numFmtId="9" fontId="6" fillId="18" borderId="23" xfId="0" applyNumberFormat="1" applyFont="1" applyFill="1" applyBorder="1" applyAlignment="1">
      <alignment horizontal="right"/>
    </xf>
    <xf numFmtId="3" fontId="6" fillId="18" borderId="49" xfId="0" applyNumberFormat="1" applyFont="1" applyFill="1" applyBorder="1" applyAlignment="1">
      <alignment horizontal="right"/>
    </xf>
    <xf numFmtId="3" fontId="6" fillId="18" borderId="100" xfId="0" applyNumberFormat="1" applyFont="1" applyFill="1" applyBorder="1" applyAlignment="1"/>
    <xf numFmtId="9" fontId="8" fillId="11" borderId="48" xfId="0" applyNumberFormat="1" applyFont="1" applyFill="1" applyBorder="1" applyAlignment="1">
      <alignment horizontal="right"/>
    </xf>
    <xf numFmtId="9" fontId="8" fillId="11" borderId="46" xfId="0" applyNumberFormat="1" applyFont="1" applyFill="1" applyBorder="1" applyAlignment="1">
      <alignment horizontal="right"/>
    </xf>
    <xf numFmtId="9" fontId="0" fillId="11" borderId="0" xfId="0" applyNumberFormat="1" applyFill="1" applyAlignment="1">
      <alignment horizontal="right"/>
    </xf>
    <xf numFmtId="1" fontId="6" fillId="11" borderId="0" xfId="0" applyNumberFormat="1" applyFont="1" applyFill="1" applyAlignment="1">
      <alignment horizontal="center"/>
    </xf>
    <xf numFmtId="0" fontId="7" fillId="1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0" fillId="11" borderId="97" xfId="0" applyNumberFormat="1" applyFill="1" applyBorder="1" applyAlignment="1">
      <alignment horizontal="right"/>
    </xf>
    <xf numFmtId="0" fontId="0" fillId="10" borderId="45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6" fillId="0" borderId="45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right"/>
    </xf>
    <xf numFmtId="9" fontId="7" fillId="12" borderId="50" xfId="0" applyNumberFormat="1" applyFont="1" applyFill="1" applyBorder="1" applyAlignment="1">
      <alignment horizontal="right"/>
    </xf>
    <xf numFmtId="0" fontId="6" fillId="0" borderId="45" xfId="0" applyFont="1" applyFill="1" applyBorder="1" applyAlignment="1">
      <alignment horizontal="right"/>
    </xf>
    <xf numFmtId="3" fontId="2" fillId="12" borderId="49" xfId="0" applyNumberFormat="1" applyFont="1" applyFill="1" applyBorder="1" applyAlignment="1">
      <alignment horizontal="right"/>
    </xf>
    <xf numFmtId="3" fontId="2" fillId="11" borderId="101" xfId="0" applyNumberFormat="1" applyFont="1" applyFill="1" applyBorder="1" applyAlignment="1">
      <alignment horizontal="right"/>
    </xf>
    <xf numFmtId="9" fontId="2" fillId="11" borderId="102" xfId="0" applyNumberFormat="1" applyFont="1" applyFill="1" applyBorder="1" applyAlignment="1">
      <alignment horizontal="right"/>
    </xf>
    <xf numFmtId="3" fontId="2" fillId="13" borderId="103" xfId="0" applyNumberFormat="1" applyFont="1" applyFill="1" applyBorder="1" applyAlignment="1">
      <alignment horizontal="right"/>
    </xf>
    <xf numFmtId="3" fontId="2" fillId="13" borderId="101" xfId="0" applyNumberFormat="1" applyFont="1" applyFill="1" applyBorder="1" applyAlignment="1">
      <alignment horizontal="right"/>
    </xf>
    <xf numFmtId="3" fontId="2" fillId="13" borderId="104" xfId="0" applyNumberFormat="1" applyFont="1" applyFill="1" applyBorder="1" applyAlignment="1">
      <alignment horizontal="right"/>
    </xf>
    <xf numFmtId="9" fontId="2" fillId="13" borderId="102" xfId="0" applyNumberFormat="1" applyFont="1" applyFill="1" applyBorder="1" applyAlignment="1">
      <alignment horizontal="right"/>
    </xf>
    <xf numFmtId="3" fontId="2" fillId="14" borderId="103" xfId="0" applyNumberFormat="1" applyFont="1" applyFill="1" applyBorder="1" applyAlignment="1">
      <alignment horizontal="right"/>
    </xf>
    <xf numFmtId="3" fontId="2" fillId="14" borderId="101" xfId="0" applyNumberFormat="1" applyFont="1" applyFill="1" applyBorder="1" applyAlignment="1">
      <alignment horizontal="right"/>
    </xf>
    <xf numFmtId="9" fontId="2" fillId="14" borderId="105" xfId="0" applyNumberFormat="1" applyFont="1" applyFill="1" applyBorder="1" applyAlignment="1">
      <alignment horizontal="right"/>
    </xf>
    <xf numFmtId="3" fontId="2" fillId="15" borderId="101" xfId="0" applyNumberFormat="1" applyFont="1" applyFill="1" applyBorder="1" applyAlignment="1">
      <alignment horizontal="right"/>
    </xf>
    <xf numFmtId="9" fontId="2" fillId="15" borderId="105" xfId="0" applyNumberFormat="1" applyFont="1" applyFill="1" applyBorder="1" applyAlignment="1">
      <alignment horizontal="right"/>
    </xf>
    <xf numFmtId="3" fontId="0" fillId="2" borderId="103" xfId="0" applyNumberFormat="1" applyFont="1" applyFill="1" applyBorder="1" applyAlignment="1">
      <alignment horizontal="right"/>
    </xf>
    <xf numFmtId="3" fontId="0" fillId="2" borderId="101" xfId="0" applyNumberFormat="1" applyFont="1" applyFill="1" applyBorder="1" applyAlignment="1">
      <alignment horizontal="right"/>
    </xf>
    <xf numFmtId="9" fontId="0" fillId="2" borderId="105" xfId="0" applyNumberFormat="1" applyFont="1" applyFill="1" applyBorder="1" applyAlignment="1">
      <alignment horizontal="right"/>
    </xf>
    <xf numFmtId="3" fontId="2" fillId="12" borderId="103" xfId="0" applyNumberFormat="1" applyFont="1" applyFill="1" applyBorder="1" applyAlignment="1">
      <alignment horizontal="right"/>
    </xf>
    <xf numFmtId="3" fontId="2" fillId="12" borderId="101" xfId="0" applyNumberFormat="1" applyFont="1" applyFill="1" applyBorder="1" applyAlignment="1">
      <alignment horizontal="right"/>
    </xf>
    <xf numFmtId="3" fontId="2" fillId="12" borderId="104" xfId="0" applyNumberFormat="1" applyFont="1" applyFill="1" applyBorder="1" applyAlignment="1">
      <alignment horizontal="right"/>
    </xf>
    <xf numFmtId="9" fontId="6" fillId="12" borderId="106" xfId="0" applyNumberFormat="1" applyFont="1" applyFill="1" applyBorder="1" applyAlignment="1">
      <alignment horizontal="right"/>
    </xf>
    <xf numFmtId="3" fontId="0" fillId="11" borderId="103" xfId="0" applyNumberFormat="1" applyFont="1" applyFill="1" applyBorder="1" applyAlignment="1">
      <alignment horizontal="right"/>
    </xf>
    <xf numFmtId="3" fontId="2" fillId="11" borderId="104" xfId="0" applyNumberFormat="1" applyFont="1" applyFill="1" applyBorder="1" applyAlignment="1">
      <alignment horizontal="right"/>
    </xf>
    <xf numFmtId="9" fontId="6" fillId="11" borderId="102" xfId="0" applyNumberFormat="1" applyFont="1" applyFill="1" applyBorder="1" applyAlignment="1">
      <alignment horizontal="right"/>
    </xf>
    <xf numFmtId="9" fontId="6" fillId="13" borderId="106" xfId="0" applyNumberFormat="1" applyFont="1" applyFill="1" applyBorder="1" applyAlignment="1">
      <alignment horizontal="right"/>
    </xf>
    <xf numFmtId="3" fontId="0" fillId="14" borderId="103" xfId="0" applyNumberFormat="1" applyFont="1" applyFill="1" applyBorder="1" applyAlignment="1">
      <alignment horizontal="right"/>
    </xf>
    <xf numFmtId="3" fontId="2" fillId="14" borderId="104" xfId="0" applyNumberFormat="1" applyFont="1" applyFill="1" applyBorder="1" applyAlignment="1">
      <alignment horizontal="right"/>
    </xf>
    <xf numFmtId="9" fontId="6" fillId="14" borderId="105" xfId="0" applyNumberFormat="1" applyFont="1" applyFill="1" applyBorder="1" applyAlignment="1">
      <alignment horizontal="right"/>
    </xf>
    <xf numFmtId="3" fontId="3" fillId="18" borderId="107" xfId="0" applyNumberFormat="1" applyFont="1" applyFill="1" applyBorder="1" applyAlignment="1">
      <alignment horizontal="right"/>
    </xf>
    <xf numFmtId="3" fontId="3" fillId="18" borderId="108" xfId="0" applyNumberFormat="1" applyFont="1" applyFill="1" applyBorder="1" applyAlignment="1">
      <alignment horizontal="right"/>
    </xf>
    <xf numFmtId="3" fontId="3" fillId="18" borderId="109" xfId="0" applyNumberFormat="1" applyFont="1" applyFill="1" applyBorder="1" applyAlignment="1">
      <alignment horizontal="right"/>
    </xf>
    <xf numFmtId="3" fontId="3" fillId="18" borderId="110" xfId="0" applyNumberFormat="1" applyFont="1" applyFill="1" applyBorder="1" applyAlignment="1">
      <alignment horizontal="right"/>
    </xf>
    <xf numFmtId="3" fontId="3" fillId="18" borderId="95" xfId="0" applyNumberFormat="1" applyFont="1" applyFill="1" applyBorder="1" applyAlignment="1">
      <alignment horizontal="right"/>
    </xf>
    <xf numFmtId="3" fontId="1" fillId="18" borderId="87" xfId="0" applyNumberFormat="1" applyFont="1" applyFill="1" applyBorder="1" applyAlignment="1">
      <alignment horizontal="right"/>
    </xf>
    <xf numFmtId="3" fontId="3" fillId="18" borderId="111" xfId="0" applyNumberFormat="1" applyFont="1" applyFill="1" applyBorder="1" applyAlignment="1">
      <alignment horizontal="right"/>
    </xf>
    <xf numFmtId="3" fontId="0" fillId="18" borderId="111" xfId="0" applyNumberFormat="1" applyFill="1" applyBorder="1" applyAlignment="1">
      <alignment horizontal="right"/>
    </xf>
    <xf numFmtId="3" fontId="0" fillId="18" borderId="108" xfId="0" applyNumberFormat="1" applyFill="1" applyBorder="1" applyAlignment="1">
      <alignment horizontal="right"/>
    </xf>
    <xf numFmtId="3" fontId="0" fillId="18" borderId="109" xfId="0" applyNumberFormat="1" applyFont="1" applyFill="1" applyBorder="1" applyAlignment="1">
      <alignment horizontal="right"/>
    </xf>
    <xf numFmtId="3" fontId="0" fillId="18" borderId="110" xfId="0" applyNumberFormat="1" applyFill="1" applyBorder="1" applyAlignment="1">
      <alignment horizontal="right"/>
    </xf>
    <xf numFmtId="3" fontId="0" fillId="18" borderId="112" xfId="0" applyNumberFormat="1" applyFill="1" applyBorder="1" applyAlignment="1">
      <alignment horizontal="right"/>
    </xf>
    <xf numFmtId="3" fontId="0" fillId="18" borderId="104" xfId="0" applyNumberFormat="1" applyFill="1" applyBorder="1" applyAlignment="1">
      <alignment horizontal="right"/>
    </xf>
    <xf numFmtId="0" fontId="0" fillId="18" borderId="104" xfId="0" applyFont="1" applyFill="1" applyBorder="1" applyAlignment="1">
      <alignment horizontal="right"/>
    </xf>
    <xf numFmtId="3" fontId="0" fillId="18" borderId="106" xfId="0" applyNumberFormat="1" applyFill="1" applyBorder="1" applyAlignment="1">
      <alignment horizontal="right"/>
    </xf>
    <xf numFmtId="3" fontId="2" fillId="18" borderId="103" xfId="0" applyNumberFormat="1" applyFont="1" applyFill="1" applyBorder="1" applyAlignment="1">
      <alignment horizontal="right"/>
    </xf>
    <xf numFmtId="3" fontId="2" fillId="18" borderId="101" xfId="0" applyNumberFormat="1" applyFont="1" applyFill="1" applyBorder="1" applyAlignment="1">
      <alignment horizontal="right"/>
    </xf>
    <xf numFmtId="9" fontId="2" fillId="18" borderId="113" xfId="0" applyNumberFormat="1" applyFont="1" applyFill="1" applyBorder="1" applyAlignment="1">
      <alignment horizontal="right"/>
    </xf>
    <xf numFmtId="3" fontId="0" fillId="18" borderId="107" xfId="0" applyNumberFormat="1" applyFill="1" applyBorder="1" applyAlignment="1">
      <alignment horizontal="right"/>
    </xf>
    <xf numFmtId="3" fontId="0" fillId="18" borderId="95" xfId="0" applyNumberFormat="1" applyFill="1" applyBorder="1" applyAlignment="1">
      <alignment horizontal="right"/>
    </xf>
    <xf numFmtId="3" fontId="2" fillId="18" borderId="114" xfId="0" applyNumberFormat="1" applyFont="1" applyFill="1" applyBorder="1" applyAlignment="1">
      <alignment horizontal="right"/>
    </xf>
    <xf numFmtId="3" fontId="0" fillId="18" borderId="114" xfId="0" applyNumberFormat="1" applyFill="1" applyBorder="1" applyAlignment="1">
      <alignment horizontal="right"/>
    </xf>
    <xf numFmtId="0" fontId="0" fillId="18" borderId="108" xfId="0" applyFont="1" applyFill="1" applyBorder="1" applyAlignment="1">
      <alignment horizontal="right"/>
    </xf>
    <xf numFmtId="3" fontId="0" fillId="18" borderId="109" xfId="0" applyNumberFormat="1" applyFill="1" applyBorder="1" applyAlignment="1">
      <alignment horizontal="right"/>
    </xf>
    <xf numFmtId="3" fontId="2" fillId="18" borderId="23" xfId="0" applyNumberFormat="1" applyFont="1" applyFill="1" applyBorder="1" applyAlignment="1">
      <alignment horizontal="right"/>
    </xf>
    <xf numFmtId="9" fontId="2" fillId="18" borderId="115" xfId="0" applyNumberFormat="1" applyFont="1" applyFill="1" applyBorder="1" applyAlignment="1">
      <alignment horizontal="right"/>
    </xf>
    <xf numFmtId="3" fontId="0" fillId="18" borderId="44" xfId="0" applyNumberFormat="1" applyFill="1" applyBorder="1" applyAlignment="1">
      <alignment horizontal="right"/>
    </xf>
    <xf numFmtId="3" fontId="2" fillId="18" borderId="116" xfId="0" applyNumberFormat="1" applyFont="1" applyFill="1" applyBorder="1" applyAlignment="1">
      <alignment horizontal="right"/>
    </xf>
    <xf numFmtId="3" fontId="2" fillId="18" borderId="117" xfId="0" applyNumberFormat="1" applyFont="1" applyFill="1" applyBorder="1" applyAlignment="1">
      <alignment horizontal="right"/>
    </xf>
    <xf numFmtId="9" fontId="2" fillId="18" borderId="118" xfId="0" applyNumberFormat="1" applyFont="1" applyFill="1" applyBorder="1" applyAlignment="1">
      <alignment horizontal="right"/>
    </xf>
    <xf numFmtId="3" fontId="2" fillId="18" borderId="119" xfId="0" applyNumberFormat="1" applyFont="1" applyFill="1" applyBorder="1" applyAlignment="1">
      <alignment horizontal="right"/>
    </xf>
    <xf numFmtId="9" fontId="2" fillId="18" borderId="120" xfId="0" applyNumberFormat="1" applyFont="1" applyFill="1" applyBorder="1" applyAlignment="1">
      <alignment horizontal="right"/>
    </xf>
    <xf numFmtId="3" fontId="0" fillId="18" borderId="106" xfId="0" applyNumberFormat="1" applyFont="1" applyFill="1" applyBorder="1" applyAlignment="1">
      <alignment horizontal="right"/>
    </xf>
    <xf numFmtId="0" fontId="2" fillId="18" borderId="104" xfId="0" applyFont="1" applyFill="1" applyBorder="1" applyAlignment="1">
      <alignment horizontal="right"/>
    </xf>
    <xf numFmtId="3" fontId="2" fillId="18" borderId="53" xfId="0" applyNumberFormat="1" applyFont="1" applyFill="1" applyBorder="1" applyAlignment="1">
      <alignment horizontal="right"/>
    </xf>
    <xf numFmtId="3" fontId="0" fillId="18" borderId="119" xfId="0" applyNumberFormat="1" applyFont="1" applyFill="1" applyBorder="1" applyAlignment="1">
      <alignment horizontal="right"/>
    </xf>
    <xf numFmtId="3" fontId="0" fillId="18" borderId="117" xfId="0" applyNumberFormat="1" applyFont="1" applyFill="1" applyBorder="1" applyAlignment="1">
      <alignment horizontal="right"/>
    </xf>
    <xf numFmtId="9" fontId="0" fillId="18" borderId="105" xfId="0" applyNumberFormat="1" applyFont="1" applyFill="1" applyBorder="1" applyAlignment="1">
      <alignment horizontal="right"/>
    </xf>
    <xf numFmtId="3" fontId="1" fillId="18" borderId="61" xfId="0" applyNumberFormat="1" applyFont="1" applyFill="1" applyBorder="1" applyAlignment="1"/>
    <xf numFmtId="3" fontId="0" fillId="18" borderId="121" xfId="0" applyNumberFormat="1" applyFill="1" applyBorder="1" applyAlignment="1">
      <alignment horizontal="right"/>
    </xf>
    <xf numFmtId="9" fontId="6" fillId="18" borderId="122" xfId="0" applyNumberFormat="1" applyFont="1" applyFill="1" applyBorder="1" applyAlignment="1">
      <alignment horizontal="right"/>
    </xf>
    <xf numFmtId="3" fontId="2" fillId="18" borderId="13" xfId="0" applyNumberFormat="1" applyFont="1" applyFill="1" applyBorder="1" applyAlignment="1">
      <alignment horizontal="right"/>
    </xf>
    <xf numFmtId="3" fontId="0" fillId="18" borderId="103" xfId="0" applyNumberFormat="1" applyFont="1" applyFill="1" applyBorder="1" applyAlignment="1">
      <alignment horizontal="right"/>
    </xf>
    <xf numFmtId="9" fontId="6" fillId="18" borderId="115" xfId="0" applyNumberFormat="1" applyFont="1" applyFill="1" applyBorder="1" applyAlignment="1">
      <alignment horizontal="right"/>
    </xf>
    <xf numFmtId="3" fontId="0" fillId="18" borderId="13" xfId="0" applyNumberFormat="1" applyFill="1" applyBorder="1" applyAlignment="1">
      <alignment horizontal="right"/>
    </xf>
    <xf numFmtId="9" fontId="6" fillId="18" borderId="113" xfId="0" applyNumberFormat="1" applyFont="1" applyFill="1" applyBorder="1" applyAlignment="1">
      <alignment horizontal="right"/>
    </xf>
    <xf numFmtId="3" fontId="0" fillId="18" borderId="44" xfId="0" applyNumberFormat="1" applyFont="1" applyFill="1" applyBorder="1" applyAlignment="1">
      <alignment horizontal="center" vertical="center" wrapText="1"/>
    </xf>
    <xf numFmtId="9" fontId="0" fillId="18" borderId="46" xfId="0" applyNumberFormat="1" applyFill="1" applyBorder="1" applyAlignment="1">
      <alignment horizontal="right"/>
    </xf>
    <xf numFmtId="3" fontId="0" fillId="18" borderId="48" xfId="0" applyNumberFormat="1" applyFill="1" applyBorder="1" applyAlignment="1">
      <alignment horizontal="right"/>
    </xf>
    <xf numFmtId="3" fontId="0" fillId="18" borderId="89" xfId="0" applyNumberFormat="1" applyFont="1" applyFill="1" applyBorder="1" applyAlignment="1">
      <alignment horizontal="right"/>
    </xf>
    <xf numFmtId="3" fontId="0" fillId="18" borderId="97" xfId="0" applyNumberFormat="1" applyFont="1" applyFill="1" applyBorder="1" applyAlignment="1">
      <alignment horizontal="right"/>
    </xf>
    <xf numFmtId="3" fontId="0" fillId="18" borderId="45" xfId="0" applyNumberFormat="1" applyFont="1" applyFill="1" applyBorder="1" applyAlignment="1">
      <alignment horizontal="right"/>
    </xf>
    <xf numFmtId="3" fontId="0" fillId="18" borderId="48" xfId="0" applyNumberFormat="1" applyFont="1" applyFill="1" applyBorder="1" applyAlignment="1">
      <alignment horizontal="right"/>
    </xf>
    <xf numFmtId="3" fontId="0" fillId="18" borderId="86" xfId="0" applyNumberFormat="1" applyFont="1" applyFill="1" applyBorder="1" applyAlignment="1">
      <alignment horizontal="right"/>
    </xf>
    <xf numFmtId="3" fontId="0" fillId="18" borderId="91" xfId="0" applyNumberFormat="1" applyFont="1" applyFill="1" applyBorder="1" applyAlignment="1">
      <alignment horizontal="right"/>
    </xf>
    <xf numFmtId="3" fontId="0" fillId="18" borderId="123" xfId="0" applyNumberFormat="1" applyFont="1" applyFill="1" applyBorder="1" applyAlignment="1">
      <alignment horizontal="right"/>
    </xf>
    <xf numFmtId="9" fontId="0" fillId="18" borderId="120" xfId="0" applyNumberFormat="1" applyFont="1" applyFill="1" applyBorder="1" applyAlignment="1">
      <alignment horizontal="right"/>
    </xf>
    <xf numFmtId="3" fontId="1" fillId="18" borderId="98" xfId="0" applyNumberFormat="1" applyFont="1" applyFill="1" applyBorder="1" applyAlignment="1"/>
    <xf numFmtId="3" fontId="0" fillId="18" borderId="89" xfId="0" applyNumberFormat="1" applyFill="1" applyBorder="1" applyAlignment="1">
      <alignment horizontal="right"/>
    </xf>
    <xf numFmtId="3" fontId="0" fillId="18" borderId="44" xfId="0" applyNumberFormat="1" applyFont="1" applyFill="1" applyBorder="1" applyAlignment="1">
      <alignment horizontal="right"/>
    </xf>
    <xf numFmtId="3" fontId="0" fillId="18" borderId="104" xfId="0" applyNumberFormat="1" applyFont="1" applyFill="1" applyBorder="1" applyAlignment="1">
      <alignment horizontal="right"/>
    </xf>
    <xf numFmtId="9" fontId="0" fillId="18" borderId="102" xfId="0" applyNumberFormat="1" applyFont="1" applyFill="1" applyBorder="1" applyAlignment="1">
      <alignment horizontal="right"/>
    </xf>
    <xf numFmtId="9" fontId="0" fillId="18" borderId="0" xfId="0" applyNumberFormat="1" applyFill="1" applyBorder="1" applyAlignment="1">
      <alignment horizontal="right"/>
    </xf>
    <xf numFmtId="3" fontId="3" fillId="18" borderId="98" xfId="0" applyNumberFormat="1" applyFont="1" applyFill="1" applyBorder="1" applyAlignment="1"/>
    <xf numFmtId="3" fontId="0" fillId="18" borderId="47" xfId="0" applyNumberFormat="1" applyFont="1" applyFill="1" applyBorder="1" applyAlignment="1">
      <alignment horizontal="right"/>
    </xf>
    <xf numFmtId="9" fontId="0" fillId="18" borderId="106" xfId="0" applyNumberFormat="1" applyFont="1" applyFill="1" applyBorder="1" applyAlignment="1">
      <alignment horizontal="right"/>
    </xf>
    <xf numFmtId="9" fontId="0" fillId="18" borderId="23" xfId="0" applyNumberFormat="1" applyFill="1" applyBorder="1" applyAlignment="1">
      <alignment horizontal="right"/>
    </xf>
    <xf numFmtId="9" fontId="0" fillId="18" borderId="46" xfId="0" applyNumberFormat="1" applyFont="1" applyFill="1" applyBorder="1" applyAlignment="1">
      <alignment horizontal="right"/>
    </xf>
    <xf numFmtId="3" fontId="1" fillId="18" borderId="100" xfId="0" applyNumberFormat="1" applyFont="1" applyFill="1" applyBorder="1" applyAlignment="1"/>
    <xf numFmtId="3" fontId="0" fillId="18" borderId="49" xfId="0" applyNumberFormat="1" applyFont="1" applyFill="1" applyBorder="1" applyAlignment="1">
      <alignment horizontal="right"/>
    </xf>
    <xf numFmtId="3" fontId="0" fillId="18" borderId="53" xfId="0" applyNumberFormat="1" applyFont="1" applyFill="1" applyBorder="1" applyAlignment="1">
      <alignment horizontal="right"/>
    </xf>
    <xf numFmtId="3" fontId="7" fillId="18" borderId="44" xfId="0" applyNumberFormat="1" applyFont="1" applyFill="1" applyBorder="1" applyAlignment="1">
      <alignment horizontal="right"/>
    </xf>
    <xf numFmtId="3" fontId="7" fillId="18" borderId="104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3" fontId="9" fillId="12" borderId="123" xfId="0" applyNumberFormat="1" applyFont="1" applyFill="1" applyBorder="1" applyAlignment="1">
      <alignment horizontal="right"/>
    </xf>
    <xf numFmtId="3" fontId="9" fillId="12" borderId="124" xfId="0" applyNumberFormat="1" applyFont="1" applyFill="1" applyBorder="1" applyAlignment="1">
      <alignment horizontal="right"/>
    </xf>
    <xf numFmtId="3" fontId="9" fillId="12" borderId="125" xfId="0" applyNumberFormat="1" applyFont="1" applyFill="1" applyBorder="1" applyAlignment="1">
      <alignment horizontal="right"/>
    </xf>
    <xf numFmtId="3" fontId="9" fillId="12" borderId="126" xfId="0" applyNumberFormat="1" applyFont="1" applyFill="1" applyBorder="1" applyAlignment="1">
      <alignment horizontal="right"/>
    </xf>
    <xf numFmtId="3" fontId="9" fillId="12" borderId="127" xfId="0" applyNumberFormat="1" applyFont="1" applyFill="1" applyBorder="1" applyAlignment="1">
      <alignment horizontal="right"/>
    </xf>
    <xf numFmtId="3" fontId="9" fillId="12" borderId="128" xfId="0" applyNumberFormat="1" applyFont="1" applyFill="1" applyBorder="1" applyAlignment="1">
      <alignment horizontal="right"/>
    </xf>
    <xf numFmtId="3" fontId="9" fillId="12" borderId="129" xfId="0" applyNumberFormat="1" applyFont="1" applyFill="1" applyBorder="1" applyAlignment="1">
      <alignment horizontal="right"/>
    </xf>
    <xf numFmtId="3" fontId="9" fillId="5" borderId="127" xfId="0" applyNumberFormat="1" applyFont="1" applyFill="1" applyBorder="1" applyAlignment="1">
      <alignment horizontal="right"/>
    </xf>
    <xf numFmtId="3" fontId="9" fillId="5" borderId="128" xfId="0" applyNumberFormat="1" applyFont="1" applyFill="1" applyBorder="1" applyAlignment="1">
      <alignment horizontal="right"/>
    </xf>
    <xf numFmtId="3" fontId="9" fillId="5" borderId="129" xfId="0" applyNumberFormat="1" applyFont="1" applyFill="1" applyBorder="1" applyAlignment="1">
      <alignment horizontal="right"/>
    </xf>
    <xf numFmtId="3" fontId="9" fillId="5" borderId="124" xfId="0" applyNumberFormat="1" applyFont="1" applyFill="1" applyBorder="1" applyAlignment="1">
      <alignment horizontal="right"/>
    </xf>
    <xf numFmtId="3" fontId="9" fillId="5" borderId="125" xfId="0" applyNumberFormat="1" applyFont="1" applyFill="1" applyBorder="1" applyAlignment="1">
      <alignment horizontal="right"/>
    </xf>
    <xf numFmtId="3" fontId="9" fillId="5" borderId="126" xfId="0" applyNumberFormat="1" applyFont="1" applyFill="1" applyBorder="1" applyAlignment="1">
      <alignment horizontal="right"/>
    </xf>
    <xf numFmtId="3" fontId="9" fillId="12" borderId="117" xfId="0" applyNumberFormat="1" applyFont="1" applyFill="1" applyBorder="1" applyAlignment="1">
      <alignment horizontal="right"/>
    </xf>
    <xf numFmtId="3" fontId="9" fillId="12" borderId="120" xfId="0" applyNumberFormat="1" applyFont="1" applyFill="1" applyBorder="1" applyAlignment="1">
      <alignment horizontal="right"/>
    </xf>
    <xf numFmtId="3" fontId="9" fillId="12" borderId="130" xfId="0" applyNumberFormat="1" applyFont="1" applyFill="1" applyBorder="1" applyAlignment="1">
      <alignment horizontal="right"/>
    </xf>
    <xf numFmtId="3" fontId="9" fillId="12" borderId="131" xfId="0" applyNumberFormat="1" applyFont="1" applyFill="1" applyBorder="1" applyAlignment="1">
      <alignment horizontal="right"/>
    </xf>
    <xf numFmtId="3" fontId="9" fillId="12" borderId="132" xfId="0" applyNumberFormat="1" applyFont="1" applyFill="1" applyBorder="1" applyAlignment="1">
      <alignment horizontal="right"/>
    </xf>
    <xf numFmtId="3" fontId="9" fillId="3" borderId="133" xfId="0" applyNumberFormat="1" applyFont="1" applyFill="1" applyBorder="1" applyAlignment="1">
      <alignment horizontal="right"/>
    </xf>
    <xf numFmtId="9" fontId="9" fillId="3" borderId="134" xfId="0" applyNumberFormat="1" applyFont="1" applyFill="1" applyBorder="1" applyAlignment="1">
      <alignment horizontal="right"/>
    </xf>
    <xf numFmtId="9" fontId="9" fillId="0" borderId="0" xfId="0" applyNumberFormat="1" applyFont="1" applyFill="1" applyBorder="1" applyAlignment="1">
      <alignment horizontal="right"/>
    </xf>
    <xf numFmtId="3" fontId="9" fillId="12" borderId="135" xfId="0" applyNumberFormat="1" applyFont="1" applyFill="1" applyBorder="1" applyAlignment="1">
      <alignment horizontal="right"/>
    </xf>
    <xf numFmtId="3" fontId="9" fillId="12" borderId="116" xfId="0" applyNumberFormat="1" applyFont="1" applyFill="1" applyBorder="1" applyAlignment="1">
      <alignment horizontal="right"/>
    </xf>
    <xf numFmtId="3" fontId="9" fillId="4" borderId="116" xfId="0" applyNumberFormat="1" applyFont="1" applyFill="1" applyBorder="1" applyAlignment="1">
      <alignment horizontal="right"/>
    </xf>
    <xf numFmtId="3" fontId="9" fillId="4" borderId="133" xfId="0" applyNumberFormat="1" applyFont="1" applyFill="1" applyBorder="1" applyAlignment="1">
      <alignment horizontal="right"/>
    </xf>
    <xf numFmtId="3" fontId="9" fillId="4" borderId="136" xfId="0" applyNumberFormat="1" applyFont="1" applyFill="1" applyBorder="1" applyAlignment="1">
      <alignment horizontal="right"/>
    </xf>
    <xf numFmtId="9" fontId="9" fillId="4" borderId="137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12" borderId="138" xfId="0" applyNumberFormat="1" applyFont="1" applyFill="1" applyBorder="1" applyAlignment="1">
      <alignment horizontal="right"/>
    </xf>
    <xf numFmtId="3" fontId="9" fillId="12" borderId="119" xfId="0" applyNumberFormat="1" applyFont="1" applyFill="1" applyBorder="1" applyAlignment="1">
      <alignment horizontal="right"/>
    </xf>
    <xf numFmtId="3" fontId="9" fillId="12" borderId="139" xfId="0" applyNumberFormat="1" applyFont="1" applyFill="1" applyBorder="1" applyAlignment="1">
      <alignment horizontal="right"/>
    </xf>
    <xf numFmtId="3" fontId="9" fillId="12" borderId="140" xfId="0" applyNumberFormat="1" applyFont="1" applyFill="1" applyBorder="1" applyAlignment="1">
      <alignment horizontal="right"/>
    </xf>
    <xf numFmtId="3" fontId="9" fillId="5" borderId="132" xfId="0" applyNumberFormat="1" applyFont="1" applyFill="1" applyBorder="1" applyAlignment="1">
      <alignment horizontal="right"/>
    </xf>
    <xf numFmtId="3" fontId="9" fillId="5" borderId="133" xfId="0" applyNumberFormat="1" applyFont="1" applyFill="1" applyBorder="1" applyAlignment="1">
      <alignment horizontal="right"/>
    </xf>
    <xf numFmtId="3" fontId="9" fillId="5" borderId="136" xfId="0" applyNumberFormat="1" applyFont="1" applyFill="1" applyBorder="1" applyAlignment="1">
      <alignment horizontal="right"/>
    </xf>
    <xf numFmtId="9" fontId="9" fillId="5" borderId="137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12" borderId="118" xfId="0" applyNumberFormat="1" applyFont="1" applyFill="1" applyBorder="1" applyAlignment="1">
      <alignment horizontal="right"/>
    </xf>
    <xf numFmtId="3" fontId="9" fillId="6" borderId="133" xfId="0" applyNumberFormat="1" applyFont="1" applyFill="1" applyBorder="1" applyAlignment="1">
      <alignment horizontal="right"/>
    </xf>
    <xf numFmtId="3" fontId="9" fillId="6" borderId="136" xfId="0" applyNumberFormat="1" applyFont="1" applyFill="1" applyBorder="1" applyAlignment="1">
      <alignment horizontal="right"/>
    </xf>
    <xf numFmtId="9" fontId="9" fillId="6" borderId="134" xfId="0" applyNumberFormat="1" applyFont="1" applyFill="1" applyBorder="1" applyAlignment="1">
      <alignment horizontal="right"/>
    </xf>
    <xf numFmtId="3" fontId="9" fillId="12" borderId="141" xfId="0" applyNumberFormat="1" applyFont="1" applyFill="1" applyBorder="1" applyAlignment="1">
      <alignment horizontal="right"/>
    </xf>
    <xf numFmtId="3" fontId="9" fillId="7" borderId="119" xfId="0" applyNumberFormat="1" applyFont="1" applyFill="1" applyBorder="1" applyAlignment="1">
      <alignment horizontal="right"/>
    </xf>
    <xf numFmtId="3" fontId="9" fillId="7" borderId="133" xfId="0" applyNumberFormat="1" applyFont="1" applyFill="1" applyBorder="1" applyAlignment="1">
      <alignment horizontal="right"/>
    </xf>
    <xf numFmtId="3" fontId="9" fillId="7" borderId="136" xfId="0" applyNumberFormat="1" applyFont="1" applyFill="1" applyBorder="1" applyAlignment="1">
      <alignment horizontal="right"/>
    </xf>
    <xf numFmtId="9" fontId="9" fillId="7" borderId="134" xfId="0" applyNumberFormat="1" applyFont="1" applyFill="1" applyBorder="1" applyAlignment="1">
      <alignment horizontal="right"/>
    </xf>
    <xf numFmtId="3" fontId="9" fillId="0" borderId="142" xfId="0" applyNumberFormat="1" applyFont="1" applyFill="1" applyBorder="1" applyAlignment="1">
      <alignment horizontal="right"/>
    </xf>
    <xf numFmtId="3" fontId="9" fillId="8" borderId="133" xfId="0" applyNumberFormat="1" applyFont="1" applyFill="1" applyBorder="1" applyAlignment="1">
      <alignment horizontal="right"/>
    </xf>
    <xf numFmtId="3" fontId="9" fillId="8" borderId="136" xfId="0" applyNumberFormat="1" applyFont="1" applyFill="1" applyBorder="1" applyAlignment="1">
      <alignment horizontal="right"/>
    </xf>
    <xf numFmtId="9" fontId="9" fillId="8" borderId="134" xfId="0" applyNumberFormat="1" applyFont="1" applyFill="1" applyBorder="1" applyAlignment="1">
      <alignment horizontal="right"/>
    </xf>
    <xf numFmtId="0" fontId="10" fillId="0" borderId="0" xfId="0" applyFont="1"/>
    <xf numFmtId="0" fontId="2" fillId="12" borderId="12" xfId="0" applyFont="1" applyFill="1" applyBorder="1" applyAlignment="1">
      <alignment horizontal="center"/>
    </xf>
    <xf numFmtId="3" fontId="2" fillId="12" borderId="117" xfId="0" applyNumberFormat="1" applyFont="1" applyFill="1" applyBorder="1" applyAlignment="1">
      <alignment horizontal="right"/>
    </xf>
    <xf numFmtId="3" fontId="2" fillId="12" borderId="128" xfId="0" applyNumberFormat="1" applyFont="1" applyFill="1" applyBorder="1" applyAlignment="1">
      <alignment horizontal="right"/>
    </xf>
    <xf numFmtId="3" fontId="2" fillId="12" borderId="129" xfId="0" applyNumberFormat="1" applyFont="1" applyFill="1" applyBorder="1" applyAlignment="1">
      <alignment horizontal="right"/>
    </xf>
    <xf numFmtId="3" fontId="2" fillId="12" borderId="124" xfId="0" applyNumberFormat="1" applyFont="1" applyFill="1" applyBorder="1" applyAlignment="1">
      <alignment horizontal="right"/>
    </xf>
    <xf numFmtId="3" fontId="2" fillId="12" borderId="125" xfId="0" applyNumberFormat="1" applyFont="1" applyFill="1" applyBorder="1" applyAlignment="1">
      <alignment horizontal="right"/>
    </xf>
    <xf numFmtId="3" fontId="2" fillId="12" borderId="126" xfId="0" applyNumberFormat="1" applyFont="1" applyFill="1" applyBorder="1" applyAlignment="1">
      <alignment horizontal="right"/>
    </xf>
    <xf numFmtId="3" fontId="2" fillId="12" borderId="127" xfId="0" applyNumberFormat="1" applyFont="1" applyFill="1" applyBorder="1" applyAlignment="1">
      <alignment horizontal="right"/>
    </xf>
    <xf numFmtId="3" fontId="2" fillId="12" borderId="141" xfId="0" applyNumberFormat="1" applyFont="1" applyFill="1" applyBorder="1" applyAlignment="1">
      <alignment horizontal="right"/>
    </xf>
    <xf numFmtId="3" fontId="2" fillId="12" borderId="130" xfId="0" applyNumberFormat="1" applyFont="1" applyFill="1" applyBorder="1" applyAlignment="1">
      <alignment horizontal="right"/>
    </xf>
    <xf numFmtId="3" fontId="2" fillId="12" borderId="131" xfId="0" applyNumberFormat="1" applyFont="1" applyFill="1" applyBorder="1" applyAlignment="1">
      <alignment horizontal="right"/>
    </xf>
    <xf numFmtId="3" fontId="2" fillId="3" borderId="133" xfId="0" applyNumberFormat="1" applyFont="1" applyFill="1" applyBorder="1" applyAlignment="1">
      <alignment horizontal="right"/>
    </xf>
    <xf numFmtId="3" fontId="2" fillId="3" borderId="143" xfId="0" applyNumberFormat="1" applyFont="1" applyFill="1" applyBorder="1" applyAlignment="1">
      <alignment horizontal="right"/>
    </xf>
    <xf numFmtId="3" fontId="2" fillId="3" borderId="136" xfId="0" applyNumberFormat="1" applyFont="1" applyFill="1" applyBorder="1" applyAlignment="1">
      <alignment horizontal="right"/>
    </xf>
    <xf numFmtId="9" fontId="6" fillId="3" borderId="137" xfId="0" applyNumberFormat="1" applyFont="1" applyFill="1" applyBorder="1" applyAlignment="1">
      <alignment horizontal="right"/>
    </xf>
    <xf numFmtId="0" fontId="2" fillId="12" borderId="5" xfId="0" applyFont="1" applyFill="1" applyBorder="1" applyAlignment="1"/>
    <xf numFmtId="3" fontId="2" fillId="4" borderId="133" xfId="0" applyNumberFormat="1" applyFont="1" applyFill="1" applyBorder="1" applyAlignment="1">
      <alignment horizontal="right"/>
    </xf>
    <xf numFmtId="3" fontId="2" fillId="4" borderId="136" xfId="0" applyNumberFormat="1" applyFont="1" applyFill="1" applyBorder="1" applyAlignment="1">
      <alignment horizontal="right"/>
    </xf>
    <xf numFmtId="9" fontId="6" fillId="4" borderId="137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5" borderId="133" xfId="0" applyNumberFormat="1" applyFont="1" applyFill="1" applyBorder="1" applyAlignment="1">
      <alignment horizontal="right"/>
    </xf>
    <xf numFmtId="3" fontId="2" fillId="5" borderId="136" xfId="0" applyNumberFormat="1" applyFont="1" applyFill="1" applyBorder="1" applyAlignment="1">
      <alignment horizontal="right"/>
    </xf>
    <xf numFmtId="9" fontId="6" fillId="5" borderId="137" xfId="0" applyNumberFormat="1" applyFont="1" applyFill="1" applyBorder="1" applyAlignment="1">
      <alignment horizontal="right"/>
    </xf>
    <xf numFmtId="3" fontId="2" fillId="6" borderId="133" xfId="0" applyNumberFormat="1" applyFont="1" applyFill="1" applyBorder="1" applyAlignment="1">
      <alignment horizontal="right"/>
    </xf>
    <xf numFmtId="3" fontId="2" fillId="6" borderId="136" xfId="0" applyNumberFormat="1" applyFont="1" applyFill="1" applyBorder="1" applyAlignment="1">
      <alignment horizontal="right"/>
    </xf>
    <xf numFmtId="9" fontId="6" fillId="6" borderId="134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8" borderId="119" xfId="0" applyNumberFormat="1" applyFont="1" applyFill="1" applyBorder="1" applyAlignment="1">
      <alignment horizontal="right"/>
    </xf>
    <xf numFmtId="3" fontId="2" fillId="8" borderId="117" xfId="0" applyNumberFormat="1" applyFont="1" applyFill="1" applyBorder="1" applyAlignment="1">
      <alignment horizontal="right"/>
    </xf>
    <xf numFmtId="9" fontId="2" fillId="8" borderId="118" xfId="0" applyNumberFormat="1" applyFont="1" applyFill="1" applyBorder="1" applyAlignment="1">
      <alignment horizontal="right"/>
    </xf>
    <xf numFmtId="0" fontId="2" fillId="0" borderId="144" xfId="0" applyFont="1" applyFill="1" applyBorder="1" applyAlignment="1">
      <alignment horizontal="center"/>
    </xf>
    <xf numFmtId="3" fontId="2" fillId="22" borderId="123" xfId="0" applyNumberFormat="1" applyFont="1" applyFill="1" applyBorder="1" applyAlignment="1">
      <alignment horizontal="right"/>
    </xf>
    <xf numFmtId="3" fontId="2" fillId="22" borderId="128" xfId="0" applyNumberFormat="1" applyFont="1" applyFill="1" applyBorder="1" applyAlignment="1">
      <alignment horizontal="right"/>
    </xf>
    <xf numFmtId="3" fontId="2" fillId="9" borderId="120" xfId="0" applyNumberFormat="1" applyFont="1" applyFill="1" applyBorder="1" applyAlignment="1">
      <alignment horizontal="right"/>
    </xf>
    <xf numFmtId="3" fontId="2" fillId="9" borderId="125" xfId="0" applyNumberFormat="1" applyFont="1" applyFill="1" applyBorder="1" applyAlignment="1">
      <alignment horizontal="right"/>
    </xf>
    <xf numFmtId="3" fontId="2" fillId="22" borderId="135" xfId="0" applyNumberFormat="1" applyFont="1" applyFill="1" applyBorder="1" applyAlignment="1">
      <alignment horizontal="right"/>
    </xf>
    <xf numFmtId="3" fontId="2" fillId="9" borderId="141" xfId="0" applyNumberFormat="1" applyFont="1" applyFill="1" applyBorder="1" applyAlignment="1">
      <alignment horizontal="right"/>
    </xf>
    <xf numFmtId="3" fontId="2" fillId="9" borderId="128" xfId="0" applyNumberFormat="1" applyFont="1" applyFill="1" applyBorder="1" applyAlignment="1">
      <alignment horizontal="right"/>
    </xf>
    <xf numFmtId="3" fontId="2" fillId="9" borderId="130" xfId="0" applyNumberFormat="1" applyFont="1" applyFill="1" applyBorder="1" applyAlignment="1">
      <alignment horizontal="right"/>
    </xf>
    <xf numFmtId="3" fontId="2" fillId="22" borderId="116" xfId="0" applyNumberFormat="1" applyFont="1" applyFill="1" applyBorder="1" applyAlignment="1">
      <alignment horizontal="right"/>
    </xf>
    <xf numFmtId="3" fontId="0" fillId="3" borderId="145" xfId="0" applyNumberFormat="1" applyFill="1" applyBorder="1" applyAlignment="1">
      <alignment horizontal="right"/>
    </xf>
    <xf numFmtId="9" fontId="2" fillId="3" borderId="137" xfId="0" applyNumberFormat="1" applyFont="1" applyFill="1" applyBorder="1" applyAlignment="1">
      <alignment horizontal="right"/>
    </xf>
    <xf numFmtId="0" fontId="2" fillId="22" borderId="144" xfId="0" applyFont="1" applyFill="1" applyBorder="1" applyAlignment="1"/>
    <xf numFmtId="3" fontId="2" fillId="22" borderId="146" xfId="0" applyNumberFormat="1" applyFont="1" applyFill="1" applyBorder="1" applyAlignment="1">
      <alignment horizontal="right"/>
    </xf>
    <xf numFmtId="3" fontId="2" fillId="22" borderId="141" xfId="0" applyNumberFormat="1" applyFont="1" applyFill="1" applyBorder="1" applyAlignment="1">
      <alignment horizontal="right"/>
    </xf>
    <xf numFmtId="3" fontId="0" fillId="4" borderId="133" xfId="0" applyNumberFormat="1" applyFill="1" applyBorder="1" applyAlignment="1">
      <alignment horizontal="right"/>
    </xf>
    <xf numFmtId="9" fontId="2" fillId="4" borderId="137" xfId="0" applyNumberFormat="1" applyFont="1" applyFill="1" applyBorder="1" applyAlignment="1">
      <alignment horizontal="right"/>
    </xf>
    <xf numFmtId="0" fontId="2" fillId="22" borderId="147" xfId="0" applyFont="1" applyFill="1" applyBorder="1" applyAlignment="1"/>
    <xf numFmtId="3" fontId="0" fillId="5" borderId="148" xfId="0" applyNumberFormat="1" applyFill="1" applyBorder="1" applyAlignment="1">
      <alignment horizontal="right"/>
    </xf>
    <xf numFmtId="9" fontId="2" fillId="5" borderId="149" xfId="0" applyNumberFormat="1" applyFont="1" applyFill="1" applyBorder="1" applyAlignment="1">
      <alignment horizontal="right"/>
    </xf>
    <xf numFmtId="9" fontId="2" fillId="0" borderId="23" xfId="0" applyNumberFormat="1" applyFont="1" applyFill="1" applyBorder="1" applyAlignment="1">
      <alignment horizontal="right"/>
    </xf>
    <xf numFmtId="3" fontId="2" fillId="22" borderId="119" xfId="0" applyNumberFormat="1" applyFont="1" applyFill="1" applyBorder="1" applyAlignment="1">
      <alignment horizontal="right"/>
    </xf>
    <xf numFmtId="3" fontId="2" fillId="6" borderId="146" xfId="0" applyNumberFormat="1" applyFont="1" applyFill="1" applyBorder="1" applyAlignment="1">
      <alignment horizontal="right"/>
    </xf>
    <xf numFmtId="3" fontId="2" fillId="6" borderId="128" xfId="0" applyNumberFormat="1" applyFont="1" applyFill="1" applyBorder="1" applyAlignment="1">
      <alignment horizontal="right"/>
    </xf>
    <xf numFmtId="3" fontId="2" fillId="6" borderId="120" xfId="0" applyNumberFormat="1" applyFont="1" applyFill="1" applyBorder="1" applyAlignment="1">
      <alignment horizontal="right"/>
    </xf>
    <xf numFmtId="3" fontId="2" fillId="6" borderId="141" xfId="0" applyNumberFormat="1" applyFont="1" applyFill="1" applyBorder="1" applyAlignment="1">
      <alignment horizontal="right"/>
    </xf>
    <xf numFmtId="3" fontId="2" fillId="6" borderId="124" xfId="0" applyNumberFormat="1" applyFont="1" applyFill="1" applyBorder="1" applyAlignment="1">
      <alignment horizontal="right"/>
    </xf>
    <xf numFmtId="3" fontId="2" fillId="6" borderId="139" xfId="0" applyNumberFormat="1" applyFont="1" applyFill="1" applyBorder="1" applyAlignment="1">
      <alignment horizontal="right"/>
    </xf>
    <xf numFmtId="3" fontId="2" fillId="6" borderId="129" xfId="0" applyNumberFormat="1" applyFont="1" applyFill="1" applyBorder="1" applyAlignment="1">
      <alignment horizontal="right"/>
    </xf>
    <xf numFmtId="3" fontId="2" fillId="6" borderId="140" xfId="0" applyNumberFormat="1" applyFont="1" applyFill="1" applyBorder="1" applyAlignment="1">
      <alignment horizontal="right"/>
    </xf>
    <xf numFmtId="3" fontId="2" fillId="6" borderId="117" xfId="0" applyNumberFormat="1" applyFont="1" applyFill="1" applyBorder="1" applyAlignment="1">
      <alignment horizontal="right"/>
    </xf>
    <xf numFmtId="9" fontId="2" fillId="6" borderId="118" xfId="0" applyNumberFormat="1" applyFont="1" applyFill="1" applyBorder="1" applyAlignment="1">
      <alignment horizontal="right"/>
    </xf>
    <xf numFmtId="0" fontId="2" fillId="22" borderId="129" xfId="0" applyFont="1" applyFill="1" applyBorder="1" applyAlignment="1"/>
    <xf numFmtId="3" fontId="2" fillId="9" borderId="124" xfId="0" applyNumberFormat="1" applyFont="1" applyFill="1" applyBorder="1" applyAlignment="1">
      <alignment horizontal="right"/>
    </xf>
    <xf numFmtId="3" fontId="2" fillId="9" borderId="13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7" borderId="119" xfId="0" applyNumberFormat="1" applyFill="1" applyBorder="1" applyAlignment="1">
      <alignment horizontal="right"/>
    </xf>
    <xf numFmtId="3" fontId="0" fillId="0" borderId="53" xfId="0" applyNumberFormat="1" applyFill="1" applyBorder="1" applyAlignment="1">
      <alignment horizontal="right"/>
    </xf>
    <xf numFmtId="3" fontId="2" fillId="7" borderId="117" xfId="0" applyNumberFormat="1" applyFont="1" applyFill="1" applyBorder="1" applyAlignment="1">
      <alignment horizontal="right"/>
    </xf>
    <xf numFmtId="9" fontId="2" fillId="7" borderId="120" xfId="0" applyNumberFormat="1" applyFont="1" applyFill="1" applyBorder="1" applyAlignment="1">
      <alignment horizontal="right"/>
    </xf>
    <xf numFmtId="3" fontId="2" fillId="8" borderId="133" xfId="0" applyNumberFormat="1" applyFont="1" applyFill="1" applyBorder="1" applyAlignment="1">
      <alignment horizontal="right"/>
    </xf>
    <xf numFmtId="3" fontId="2" fillId="8" borderId="136" xfId="0" applyNumberFormat="1" applyFont="1" applyFill="1" applyBorder="1" applyAlignment="1">
      <alignment horizontal="right"/>
    </xf>
    <xf numFmtId="9" fontId="2" fillId="8" borderId="137" xfId="0" applyNumberFormat="1" applyFont="1" applyFill="1" applyBorder="1" applyAlignment="1">
      <alignment horizontal="right"/>
    </xf>
    <xf numFmtId="1" fontId="1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/>
    <xf numFmtId="0" fontId="2" fillId="8" borderId="0" xfId="0" applyFont="1" applyFill="1"/>
    <xf numFmtId="4" fontId="2" fillId="8" borderId="0" xfId="0" applyNumberFormat="1" applyFont="1" applyFill="1"/>
    <xf numFmtId="0" fontId="2" fillId="8" borderId="0" xfId="0" applyFont="1" applyFill="1" applyBorder="1"/>
    <xf numFmtId="9" fontId="2" fillId="8" borderId="0" xfId="0" applyNumberFormat="1" applyFont="1" applyFill="1"/>
    <xf numFmtId="9" fontId="2" fillId="8" borderId="0" xfId="0" applyNumberFormat="1" applyFont="1" applyFill="1" applyBorder="1"/>
    <xf numFmtId="9" fontId="2" fillId="8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/>
    <xf numFmtId="0" fontId="2" fillId="5" borderId="0" xfId="0" applyFont="1" applyFill="1"/>
    <xf numFmtId="4" fontId="2" fillId="5" borderId="0" xfId="0" applyNumberFormat="1" applyFont="1" applyFill="1"/>
    <xf numFmtId="0" fontId="2" fillId="5" borderId="0" xfId="0" applyFont="1" applyFill="1" applyBorder="1"/>
    <xf numFmtId="9" fontId="2" fillId="5" borderId="0" xfId="0" applyNumberFormat="1" applyFont="1" applyFill="1"/>
    <xf numFmtId="9" fontId="2" fillId="5" borderId="0" xfId="0" applyNumberFormat="1" applyFont="1" applyFill="1" applyBorder="1"/>
    <xf numFmtId="9" fontId="2" fillId="5" borderId="0" xfId="0" applyNumberFormat="1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164" fontId="1" fillId="20" borderId="0" xfId="0" applyNumberFormat="1" applyFont="1" applyFill="1" applyAlignment="1"/>
    <xf numFmtId="0" fontId="1" fillId="20" borderId="0" xfId="0" applyFont="1" applyFill="1"/>
    <xf numFmtId="4" fontId="1" fillId="20" borderId="0" xfId="0" applyNumberFormat="1" applyFont="1" applyFill="1"/>
    <xf numFmtId="0" fontId="1" fillId="20" borderId="0" xfId="0" applyFont="1" applyFill="1" applyBorder="1"/>
    <xf numFmtId="9" fontId="1" fillId="20" borderId="0" xfId="0" applyNumberFormat="1" applyFont="1" applyFill="1"/>
    <xf numFmtId="9" fontId="1" fillId="20" borderId="0" xfId="0" applyNumberFormat="1" applyFont="1" applyFill="1" applyBorder="1"/>
    <xf numFmtId="9" fontId="1" fillId="2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/>
    <xf numFmtId="4" fontId="2" fillId="0" borderId="0" xfId="0" applyNumberFormat="1" applyFont="1"/>
    <xf numFmtId="9" fontId="2" fillId="0" borderId="0" xfId="0" applyNumberFormat="1" applyFont="1" applyFill="1" applyBorder="1"/>
    <xf numFmtId="9" fontId="2" fillId="0" borderId="0" xfId="0" applyNumberFormat="1" applyFont="1" applyAlignment="1">
      <alignment horizontal="center"/>
    </xf>
    <xf numFmtId="164" fontId="0" fillId="0" borderId="0" xfId="0" applyNumberFormat="1" applyAlignment="1"/>
    <xf numFmtId="4" fontId="0" fillId="0" borderId="0" xfId="0" applyNumberFormat="1"/>
    <xf numFmtId="0" fontId="0" fillId="0" borderId="0" xfId="0" applyBorder="1"/>
    <xf numFmtId="0" fontId="0" fillId="0" borderId="0" xfId="0" applyFill="1"/>
    <xf numFmtId="3" fontId="7" fillId="0" borderId="61" xfId="0" applyNumberFormat="1" applyFont="1" applyFill="1" applyBorder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0" fontId="0" fillId="3" borderId="5" xfId="0" applyFill="1" applyBorder="1" applyAlignment="1"/>
    <xf numFmtId="0" fontId="0" fillId="0" borderId="5" xfId="0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165" fontId="2" fillId="5" borderId="4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0" fontId="0" fillId="5" borderId="9" xfId="0" applyFill="1" applyBorder="1" applyAlignment="1"/>
    <xf numFmtId="165" fontId="2" fillId="2" borderId="2" xfId="0" applyNumberFormat="1" applyFont="1" applyFill="1" applyBorder="1" applyAlignment="1">
      <alignment horizontal="right"/>
    </xf>
    <xf numFmtId="165" fontId="2" fillId="4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/>
    <xf numFmtId="0" fontId="0" fillId="4" borderId="8" xfId="0" applyFill="1" applyBorder="1" applyAlignment="1"/>
    <xf numFmtId="165" fontId="2" fillId="2" borderId="11" xfId="0" applyNumberFormat="1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center"/>
    </xf>
    <xf numFmtId="0" fontId="2" fillId="7" borderId="2" xfId="0" applyFont="1" applyFill="1" applyBorder="1" applyAlignment="1"/>
    <xf numFmtId="0" fontId="0" fillId="7" borderId="5" xfId="0" applyFill="1" applyBorder="1" applyAlignment="1"/>
    <xf numFmtId="165" fontId="2" fillId="8" borderId="6" xfId="0" applyNumberFormat="1" applyFont="1" applyFill="1" applyBorder="1" applyAlignment="1">
      <alignment horizontal="center"/>
    </xf>
    <xf numFmtId="0" fontId="2" fillId="8" borderId="7" xfId="0" applyFont="1" applyFill="1" applyBorder="1" applyAlignment="1"/>
    <xf numFmtId="0" fontId="0" fillId="8" borderId="8" xfId="0" applyFill="1" applyBorder="1" applyAlignment="1"/>
    <xf numFmtId="165" fontId="2" fillId="6" borderId="6" xfId="0" applyNumberFormat="1" applyFont="1" applyFill="1" applyBorder="1" applyAlignment="1">
      <alignment horizontal="center"/>
    </xf>
    <xf numFmtId="0" fontId="2" fillId="6" borderId="7" xfId="0" applyFont="1" applyFill="1" applyBorder="1" applyAlignment="1"/>
    <xf numFmtId="0" fontId="0" fillId="6" borderId="10" xfId="0" applyFill="1" applyBorder="1" applyAlignment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0" fontId="2" fillId="5" borderId="7" xfId="0" applyFont="1" applyFill="1" applyBorder="1" applyAlignment="1"/>
    <xf numFmtId="0" fontId="0" fillId="5" borderId="7" xfId="0" applyFill="1" applyBorder="1" applyAlignment="1"/>
    <xf numFmtId="165" fontId="2" fillId="3" borderId="17" xfId="0" applyNumberFormat="1" applyFont="1" applyFill="1" applyBorder="1" applyAlignment="1">
      <alignment horizontal="center"/>
    </xf>
    <xf numFmtId="0" fontId="0" fillId="3" borderId="15" xfId="0" applyFill="1" applyBorder="1" applyAlignment="1"/>
    <xf numFmtId="0" fontId="0" fillId="3" borderId="18" xfId="0" applyFill="1" applyBorder="1" applyAlignment="1"/>
    <xf numFmtId="0" fontId="2" fillId="8" borderId="14" xfId="0" applyNumberFormat="1" applyFont="1" applyFill="1" applyBorder="1" applyAlignment="1">
      <alignment horizontal="center"/>
    </xf>
    <xf numFmtId="0" fontId="0" fillId="8" borderId="15" xfId="0" applyFill="1" applyBorder="1" applyAlignment="1"/>
    <xf numFmtId="0" fontId="0" fillId="8" borderId="16" xfId="0" applyFill="1" applyBorder="1" applyAlignment="1"/>
    <xf numFmtId="165" fontId="2" fillId="4" borderId="19" xfId="0" applyNumberFormat="1" applyFont="1" applyFill="1" applyBorder="1" applyAlignment="1">
      <alignment horizontal="center"/>
    </xf>
    <xf numFmtId="0" fontId="0" fillId="4" borderId="20" xfId="0" applyFill="1" applyBorder="1" applyAlignment="1"/>
    <xf numFmtId="0" fontId="0" fillId="4" borderId="21" xfId="0" applyFill="1" applyBorder="1" applyAlignment="1"/>
    <xf numFmtId="0" fontId="2" fillId="2" borderId="20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/>
    </xf>
    <xf numFmtId="0" fontId="0" fillId="0" borderId="2" xfId="0" applyBorder="1" applyAlignment="1"/>
    <xf numFmtId="0" fontId="0" fillId="0" borderId="9" xfId="0" applyBorder="1" applyAlignment="1"/>
    <xf numFmtId="165" fontId="2" fillId="7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165" fontId="2" fillId="5" borderId="14" xfId="0" applyNumberFormat="1" applyFont="1" applyFill="1" applyBorder="1" applyAlignment="1">
      <alignment horizontal="center"/>
    </xf>
    <xf numFmtId="0" fontId="0" fillId="5" borderId="15" xfId="0" applyFill="1" applyBorder="1" applyAlignment="1"/>
    <xf numFmtId="0" fontId="0" fillId="5" borderId="22" xfId="0" applyFill="1" applyBorder="1" applyAlignment="1"/>
    <xf numFmtId="0" fontId="2" fillId="2" borderId="58" xfId="0" applyFont="1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/>
    </xf>
    <xf numFmtId="0" fontId="2" fillId="3" borderId="58" xfId="0" applyFont="1" applyFill="1" applyBorder="1" applyAlignment="1">
      <alignment vertical="center"/>
    </xf>
    <xf numFmtId="9" fontId="2" fillId="3" borderId="37" xfId="0" applyNumberFormat="1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/>
    </xf>
    <xf numFmtId="0" fontId="2" fillId="4" borderId="58" xfId="0" applyFont="1" applyFill="1" applyBorder="1" applyAlignment="1">
      <alignment vertical="center"/>
    </xf>
    <xf numFmtId="9" fontId="2" fillId="4" borderId="21" xfId="0" applyNumberFormat="1" applyFont="1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center"/>
    </xf>
    <xf numFmtId="0" fontId="2" fillId="5" borderId="58" xfId="0" applyFont="1" applyFill="1" applyBorder="1" applyAlignment="1">
      <alignment vertical="center"/>
    </xf>
    <xf numFmtId="9" fontId="2" fillId="5" borderId="21" xfId="0" applyNumberFormat="1" applyFont="1" applyFill="1" applyBorder="1" applyAlignment="1">
      <alignment horizontal="center" vertical="center"/>
    </xf>
    <xf numFmtId="0" fontId="0" fillId="5" borderId="72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6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/>
    </xf>
    <xf numFmtId="0" fontId="2" fillId="6" borderId="58" xfId="0" applyFont="1" applyFill="1" applyBorder="1" applyAlignment="1">
      <alignment vertical="center"/>
    </xf>
    <xf numFmtId="9" fontId="2" fillId="6" borderId="37" xfId="0" applyNumberFormat="1" applyFont="1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vertical="center"/>
    </xf>
    <xf numFmtId="0" fontId="2" fillId="8" borderId="58" xfId="0" applyFont="1" applyFill="1" applyBorder="1" applyAlignment="1">
      <alignment vertical="center"/>
    </xf>
    <xf numFmtId="9" fontId="2" fillId="8" borderId="21" xfId="0" applyNumberFormat="1" applyFont="1" applyFill="1" applyBorder="1" applyAlignment="1">
      <alignment horizontal="center" vertical="center"/>
    </xf>
    <xf numFmtId="0" fontId="0" fillId="8" borderId="72" xfId="0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vertical="center"/>
    </xf>
    <xf numFmtId="164" fontId="0" fillId="0" borderId="57" xfId="0" applyNumberFormat="1" applyBorder="1" applyAlignment="1">
      <alignment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/>
    </xf>
    <xf numFmtId="0" fontId="2" fillId="7" borderId="58" xfId="0" applyFont="1" applyFill="1" applyBorder="1" applyAlignment="1">
      <alignment vertical="center"/>
    </xf>
    <xf numFmtId="9" fontId="2" fillId="7" borderId="37" xfId="0" applyNumberFormat="1" applyFont="1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 wrapText="1"/>
    </xf>
    <xf numFmtId="0" fontId="2" fillId="8" borderId="66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5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9" fontId="2" fillId="3" borderId="43" xfId="0" applyNumberFormat="1" applyFont="1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vertical="center"/>
    </xf>
    <xf numFmtId="164" fontId="0" fillId="0" borderId="69" xfId="0" applyNumberFormat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9" fontId="6" fillId="4" borderId="21" xfId="0" applyNumberFormat="1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9" fontId="6" fillId="5" borderId="43" xfId="0" applyNumberFormat="1" applyFont="1" applyFill="1" applyBorder="1" applyAlignment="1">
      <alignment horizontal="center" vertical="center"/>
    </xf>
    <xf numFmtId="0" fontId="7" fillId="5" borderId="75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vertical="center"/>
    </xf>
    <xf numFmtId="0" fontId="2" fillId="6" borderId="66" xfId="0" applyFont="1" applyFill="1" applyBorder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9" fontId="6" fillId="6" borderId="37" xfId="0" applyNumberFormat="1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 wrapText="1"/>
    </xf>
    <xf numFmtId="0" fontId="0" fillId="8" borderId="76" xfId="0" applyFill="1" applyBorder="1" applyAlignment="1"/>
    <xf numFmtId="0" fontId="2" fillId="8" borderId="45" xfId="0" applyFont="1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9" fontId="2" fillId="8" borderId="46" xfId="0" applyNumberFormat="1" applyFont="1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vertical="center"/>
    </xf>
    <xf numFmtId="164" fontId="0" fillId="0" borderId="74" xfId="0" applyNumberFormat="1" applyBorder="1" applyAlignment="1">
      <alignment vertical="center"/>
    </xf>
    <xf numFmtId="9" fontId="2" fillId="3" borderId="48" xfId="0" applyNumberFormat="1" applyFont="1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2" fillId="3" borderId="45" xfId="0" applyFont="1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/>
    </xf>
    <xf numFmtId="0" fontId="0" fillId="3" borderId="65" xfId="0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0" fillId="4" borderId="66" xfId="0" applyFill="1" applyBorder="1" applyAlignment="1">
      <alignment vertical="center"/>
    </xf>
    <xf numFmtId="0" fontId="0" fillId="4" borderId="58" xfId="0" applyFill="1" applyBorder="1" applyAlignment="1">
      <alignment horizontal="center" vertical="center" wrapText="1"/>
    </xf>
    <xf numFmtId="0" fontId="0" fillId="4" borderId="58" xfId="0" applyFill="1" applyBorder="1" applyAlignment="1">
      <alignment vertical="center"/>
    </xf>
    <xf numFmtId="0" fontId="2" fillId="5" borderId="49" xfId="0" applyFont="1" applyFill="1" applyBorder="1" applyAlignment="1">
      <alignment vertical="center"/>
    </xf>
    <xf numFmtId="0" fontId="0" fillId="5" borderId="79" xfId="0" applyFill="1" applyBorder="1" applyAlignment="1">
      <alignment vertical="center"/>
    </xf>
    <xf numFmtId="0" fontId="2" fillId="5" borderId="45" xfId="0" applyFont="1" applyFill="1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2" fillId="5" borderId="45" xfId="0" applyFont="1" applyFill="1" applyBorder="1" applyAlignment="1">
      <alignment vertical="center"/>
    </xf>
    <xf numFmtId="0" fontId="0" fillId="5" borderId="65" xfId="0" applyFill="1" applyBorder="1" applyAlignment="1">
      <alignment vertical="center"/>
    </xf>
    <xf numFmtId="9" fontId="2" fillId="5" borderId="50" xfId="0" applyNumberFormat="1" applyFont="1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2" fillId="6" borderId="51" xfId="0" applyFont="1" applyFill="1" applyBorder="1" applyAlignment="1">
      <alignment vertical="center"/>
    </xf>
    <xf numFmtId="0" fontId="0" fillId="6" borderId="65" xfId="0" applyFill="1" applyBorder="1" applyAlignment="1">
      <alignment vertical="center"/>
    </xf>
    <xf numFmtId="9" fontId="2" fillId="6" borderId="52" xfId="0" applyNumberFormat="1" applyFont="1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164" fontId="0" fillId="0" borderId="56" xfId="0" applyNumberFormat="1" applyBorder="1" applyAlignment="1">
      <alignment vertical="center"/>
    </xf>
    <xf numFmtId="0" fontId="2" fillId="8" borderId="45" xfId="0" applyFont="1" applyFill="1" applyBorder="1" applyAlignment="1">
      <alignment vertical="center"/>
    </xf>
    <xf numFmtId="0" fontId="0" fillId="8" borderId="65" xfId="0" applyFill="1" applyBorder="1" applyAlignment="1">
      <alignment vertical="center"/>
    </xf>
    <xf numFmtId="0" fontId="0" fillId="8" borderId="80" xfId="0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49" xfId="0" applyFont="1" applyFill="1" applyBorder="1" applyAlignment="1">
      <alignment vertical="center"/>
    </xf>
    <xf numFmtId="0" fontId="0" fillId="7" borderId="49" xfId="0" applyFill="1" applyBorder="1" applyAlignment="1">
      <alignment vertical="center"/>
    </xf>
    <xf numFmtId="0" fontId="2" fillId="7" borderId="51" xfId="0" applyFont="1" applyFill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 wrapText="1"/>
    </xf>
    <xf numFmtId="0" fontId="2" fillId="7" borderId="51" xfId="0" applyFont="1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9" fontId="2" fillId="7" borderId="54" xfId="0" applyNumberFormat="1" applyFont="1" applyFill="1" applyBorder="1" applyAlignment="1">
      <alignment horizontal="center" vertical="center"/>
    </xf>
    <xf numFmtId="0" fontId="0" fillId="7" borderId="77" xfId="0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 wrapText="1"/>
    </xf>
    <xf numFmtId="0" fontId="0" fillId="8" borderId="7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X42"/>
  <sheetViews>
    <sheetView tabSelected="1" workbookViewId="0">
      <selection activeCell="ADA18" sqref="ADA18"/>
    </sheetView>
  </sheetViews>
  <sheetFormatPr defaultRowHeight="14.5" x14ac:dyDescent="0.35"/>
  <cols>
    <col min="1" max="1" width="4.453125" style="734" customWidth="1"/>
    <col min="2" max="2" width="28.26953125" style="764" customWidth="1"/>
    <col min="3" max="3" width="7" hidden="1" customWidth="1"/>
    <col min="4" max="6" width="7.7265625" hidden="1" customWidth="1"/>
    <col min="7" max="7" width="7.7265625" style="765" hidden="1" customWidth="1"/>
    <col min="8" max="8" width="7.7265625" hidden="1" customWidth="1"/>
    <col min="9" max="10" width="7.7265625" style="766" hidden="1" customWidth="1"/>
    <col min="11" max="11" width="9.26953125" style="2" hidden="1" customWidth="1"/>
    <col min="12" max="18" width="7.7265625" hidden="1" customWidth="1"/>
    <col min="19" max="19" width="7.7265625" style="766" hidden="1" customWidth="1"/>
    <col min="20" max="20" width="7.7265625" style="2" hidden="1" customWidth="1"/>
    <col min="21" max="27" width="7.7265625" hidden="1" customWidth="1"/>
    <col min="28" max="28" width="7.7265625" style="766" hidden="1" customWidth="1"/>
    <col min="29" max="29" width="7.7265625" style="2" hidden="1" customWidth="1"/>
    <col min="30" max="36" width="7.7265625" hidden="1" customWidth="1"/>
    <col min="37" max="37" width="7.7265625" style="766" hidden="1" customWidth="1"/>
    <col min="38" max="38" width="6.7265625" hidden="1" customWidth="1"/>
    <col min="39" max="45" width="7.7265625" hidden="1" customWidth="1"/>
    <col min="46" max="46" width="7.7265625" style="766" hidden="1" customWidth="1"/>
    <col min="47" max="47" width="6.7265625" style="2" hidden="1" customWidth="1"/>
    <col min="48" max="48" width="6.7265625" style="3" hidden="1" customWidth="1"/>
    <col min="49" max="50" width="6.7265625" style="2" hidden="1" customWidth="1"/>
    <col min="51" max="51" width="6.7265625" style="4" hidden="1" customWidth="1"/>
    <col min="52" max="52" width="0.81640625" style="762" hidden="1" customWidth="1"/>
    <col min="53" max="101" width="6.7265625" hidden="1" customWidth="1"/>
    <col min="102" max="102" width="0.81640625" style="767" hidden="1" customWidth="1"/>
    <col min="103" max="151" width="6.7265625" hidden="1" customWidth="1"/>
    <col min="152" max="152" width="0.81640625" hidden="1" customWidth="1"/>
    <col min="153" max="187" width="6.7265625" hidden="1" customWidth="1"/>
    <col min="188" max="188" width="6.7265625" style="2" hidden="1" customWidth="1"/>
    <col min="189" max="251" width="6.7265625" hidden="1" customWidth="1"/>
    <col min="252" max="252" width="6.7265625" style="3" hidden="1" customWidth="1"/>
    <col min="253" max="254" width="6.7265625" style="2" hidden="1" customWidth="1"/>
    <col min="255" max="255" width="6.7265625" style="4" hidden="1" customWidth="1"/>
    <col min="256" max="256" width="2.7265625" hidden="1" customWidth="1"/>
    <col min="257" max="257" width="8.7265625" customWidth="1"/>
    <col min="258" max="258" width="10.1796875" customWidth="1"/>
    <col min="259" max="259" width="12.54296875" customWidth="1"/>
    <col min="260" max="260" width="8.7265625" customWidth="1"/>
    <col min="261" max="261" width="2.7265625" customWidth="1"/>
    <col min="262" max="262" width="16.7265625" hidden="1" customWidth="1"/>
    <col min="263" max="489" width="9.1796875" hidden="1" customWidth="1"/>
    <col min="490" max="490" width="8.7265625" customWidth="1"/>
    <col min="491" max="491" width="13.1796875" customWidth="1"/>
    <col min="492" max="492" width="12.7265625" customWidth="1"/>
    <col min="493" max="493" width="8.7265625" customWidth="1"/>
    <col min="494" max="494" width="2.7265625" customWidth="1"/>
    <col min="495" max="495" width="19.1796875" hidden="1" customWidth="1"/>
    <col min="496" max="606" width="9.1796875" hidden="1" customWidth="1"/>
    <col min="607" max="607" width="18.81640625" hidden="1" customWidth="1"/>
    <col min="608" max="715" width="9.1796875" hidden="1" customWidth="1"/>
    <col min="716" max="716" width="18" hidden="1" customWidth="1"/>
    <col min="717" max="772" width="9.1796875" hidden="1" customWidth="1"/>
    <col min="773" max="773" width="8.7265625" customWidth="1"/>
    <col min="774" max="774" width="14.7265625" customWidth="1"/>
    <col min="775" max="775" width="8.7265625" customWidth="1"/>
    <col min="776" max="776" width="2.7265625" customWidth="1"/>
    <col min="777" max="777" width="14.36328125" customWidth="1"/>
    <col min="778" max="778" width="9.1796875" style="5"/>
  </cols>
  <sheetData>
    <row r="1" spans="1:778" x14ac:dyDescent="0.35">
      <c r="A1" s="769"/>
    </row>
    <row r="2" spans="1:778" ht="69.75" customHeight="1" x14ac:dyDescent="0.35">
      <c r="A2" s="770" t="s">
        <v>88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1"/>
      <c r="AF2" s="771"/>
      <c r="AG2" s="771"/>
      <c r="AH2" s="771"/>
      <c r="AI2" s="771"/>
      <c r="AJ2" s="771"/>
      <c r="AK2" s="771"/>
      <c r="AL2" s="771"/>
      <c r="AM2" s="771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771"/>
      <c r="AY2" s="771"/>
      <c r="AZ2" s="771"/>
      <c r="BA2" s="771"/>
      <c r="BB2" s="771"/>
      <c r="BC2" s="771"/>
      <c r="BD2" s="771"/>
      <c r="BE2" s="771"/>
      <c r="BF2" s="771"/>
      <c r="BG2" s="771"/>
      <c r="BH2" s="771"/>
      <c r="BI2" s="771"/>
      <c r="BJ2" s="771"/>
      <c r="BK2" s="771"/>
      <c r="BL2" s="771"/>
      <c r="BM2" s="771"/>
      <c r="BN2" s="771"/>
      <c r="BO2" s="771"/>
      <c r="BP2" s="771"/>
      <c r="BQ2" s="771"/>
      <c r="BR2" s="771"/>
      <c r="BS2" s="771"/>
      <c r="BT2" s="771"/>
      <c r="BU2" s="771"/>
      <c r="BV2" s="771"/>
      <c r="BW2" s="771"/>
      <c r="BX2" s="771"/>
      <c r="BY2" s="771"/>
      <c r="BZ2" s="771"/>
      <c r="CA2" s="771"/>
      <c r="CB2" s="771"/>
      <c r="CC2" s="771"/>
      <c r="CD2" s="771"/>
      <c r="CE2" s="771"/>
      <c r="CF2" s="771"/>
      <c r="CG2" s="771"/>
      <c r="CH2" s="771"/>
      <c r="CI2" s="771"/>
      <c r="CJ2" s="771"/>
      <c r="CK2" s="771"/>
      <c r="CL2" s="771"/>
      <c r="CM2" s="771"/>
      <c r="CN2" s="771"/>
      <c r="CO2" s="771"/>
      <c r="CP2" s="771"/>
      <c r="CQ2" s="771"/>
      <c r="CR2" s="771"/>
      <c r="CS2" s="771"/>
      <c r="CT2" s="771"/>
      <c r="CU2" s="771"/>
      <c r="CV2" s="771"/>
      <c r="CW2" s="771"/>
      <c r="CX2" s="771"/>
      <c r="CY2" s="771"/>
      <c r="CZ2" s="771"/>
      <c r="DA2" s="771"/>
      <c r="DB2" s="771"/>
      <c r="DC2" s="771"/>
      <c r="DD2" s="771"/>
      <c r="DE2" s="771"/>
      <c r="DF2" s="771"/>
      <c r="DG2" s="771"/>
      <c r="DH2" s="771"/>
      <c r="DI2" s="771"/>
      <c r="DJ2" s="771"/>
      <c r="DK2" s="771"/>
      <c r="DL2" s="771"/>
      <c r="DM2" s="771"/>
      <c r="DN2" s="771"/>
      <c r="DO2" s="771"/>
      <c r="DP2" s="771"/>
      <c r="DQ2" s="771"/>
      <c r="DR2" s="771"/>
      <c r="DS2" s="771"/>
      <c r="DT2" s="771"/>
      <c r="DU2" s="771"/>
      <c r="DV2" s="771"/>
      <c r="DW2" s="771"/>
      <c r="DX2" s="771"/>
      <c r="DY2" s="771"/>
      <c r="DZ2" s="771"/>
      <c r="EA2" s="771"/>
      <c r="EB2" s="771"/>
      <c r="EC2" s="771"/>
      <c r="ED2" s="771"/>
      <c r="EE2" s="771"/>
      <c r="EF2" s="771"/>
      <c r="EG2" s="771"/>
      <c r="EH2" s="771"/>
      <c r="EI2" s="771"/>
      <c r="EJ2" s="771"/>
      <c r="EK2" s="771"/>
      <c r="EL2" s="771"/>
      <c r="EM2" s="771"/>
      <c r="EN2" s="771"/>
      <c r="EO2" s="771"/>
      <c r="EP2" s="771"/>
      <c r="EQ2" s="771"/>
      <c r="ER2" s="771"/>
      <c r="ES2" s="771"/>
      <c r="ET2" s="771"/>
      <c r="EU2" s="771"/>
      <c r="EV2" s="771"/>
      <c r="EW2" s="771"/>
      <c r="EX2" s="771"/>
      <c r="EY2" s="771"/>
      <c r="EZ2" s="771"/>
      <c r="FA2" s="771"/>
      <c r="FB2" s="771"/>
      <c r="FC2" s="771"/>
      <c r="FD2" s="771"/>
      <c r="FE2" s="771"/>
      <c r="FF2" s="771"/>
      <c r="FG2" s="771"/>
      <c r="FH2" s="771"/>
      <c r="FI2" s="771"/>
      <c r="FJ2" s="771"/>
      <c r="FK2" s="771"/>
      <c r="FL2" s="771"/>
      <c r="FM2" s="771"/>
      <c r="FN2" s="771"/>
      <c r="FO2" s="771"/>
      <c r="FP2" s="771"/>
      <c r="FQ2" s="771"/>
      <c r="FR2" s="771"/>
      <c r="FS2" s="771"/>
      <c r="FT2" s="771"/>
      <c r="FU2" s="771"/>
      <c r="FV2" s="771"/>
      <c r="FW2" s="771"/>
      <c r="FX2" s="771"/>
      <c r="FY2" s="771"/>
      <c r="FZ2" s="771"/>
      <c r="GA2" s="771"/>
      <c r="GB2" s="771"/>
      <c r="GC2" s="771"/>
      <c r="GD2" s="771"/>
      <c r="GE2" s="771"/>
      <c r="GF2" s="771"/>
      <c r="GG2" s="771"/>
      <c r="GH2" s="771"/>
      <c r="GI2" s="771"/>
      <c r="GJ2" s="771"/>
      <c r="GK2" s="771"/>
      <c r="GL2" s="771"/>
      <c r="GM2" s="771"/>
      <c r="GN2" s="771"/>
      <c r="GO2" s="771"/>
      <c r="GP2" s="771"/>
      <c r="GQ2" s="771"/>
      <c r="GR2" s="771"/>
      <c r="GS2" s="771"/>
      <c r="GT2" s="771"/>
      <c r="GU2" s="771"/>
      <c r="GV2" s="771"/>
      <c r="GW2" s="771"/>
      <c r="GX2" s="771"/>
      <c r="GY2" s="771"/>
      <c r="GZ2" s="771"/>
      <c r="HA2" s="771"/>
      <c r="HB2" s="771"/>
      <c r="HC2" s="771"/>
      <c r="HD2" s="771"/>
      <c r="HE2" s="771"/>
      <c r="HF2" s="771"/>
      <c r="HG2" s="771"/>
      <c r="HH2" s="771"/>
      <c r="HI2" s="771"/>
      <c r="HJ2" s="771"/>
      <c r="HK2" s="771"/>
      <c r="HL2" s="771"/>
      <c r="HM2" s="771"/>
      <c r="HN2" s="771"/>
      <c r="HO2" s="771"/>
      <c r="HP2" s="771"/>
      <c r="HQ2" s="771"/>
      <c r="HR2" s="771"/>
      <c r="HS2" s="771"/>
      <c r="HT2" s="771"/>
      <c r="HU2" s="771"/>
      <c r="HV2" s="771"/>
      <c r="HW2" s="771"/>
      <c r="HX2" s="771"/>
      <c r="HY2" s="771"/>
      <c r="HZ2" s="771"/>
      <c r="IA2" s="771"/>
      <c r="IB2" s="771"/>
      <c r="IC2" s="771"/>
      <c r="ID2" s="771"/>
      <c r="IE2" s="771"/>
      <c r="IF2" s="771"/>
      <c r="IG2" s="771"/>
      <c r="IH2" s="771"/>
      <c r="II2" s="771"/>
      <c r="IJ2" s="771"/>
      <c r="IK2" s="771"/>
      <c r="IL2" s="771"/>
      <c r="IM2" s="771"/>
      <c r="IN2" s="771"/>
      <c r="IO2" s="771"/>
      <c r="IP2" s="771"/>
      <c r="IQ2" s="771"/>
      <c r="IR2" s="771"/>
      <c r="IS2" s="771"/>
      <c r="IT2" s="771"/>
      <c r="IU2" s="771"/>
      <c r="IV2" s="771"/>
      <c r="IW2" s="771"/>
      <c r="IX2" s="771"/>
      <c r="IY2" s="771"/>
      <c r="IZ2" s="771"/>
      <c r="JA2" s="771"/>
      <c r="JB2" s="771"/>
      <c r="JC2" s="771"/>
      <c r="JD2" s="771"/>
      <c r="JE2" s="771"/>
      <c r="JF2" s="771"/>
      <c r="JG2" s="771"/>
      <c r="JH2" s="771"/>
      <c r="JI2" s="771"/>
      <c r="JJ2" s="771"/>
      <c r="JK2" s="771"/>
      <c r="JL2" s="771"/>
      <c r="JM2" s="771"/>
      <c r="JN2" s="771"/>
      <c r="JO2" s="771"/>
      <c r="JP2" s="771"/>
      <c r="JQ2" s="771"/>
      <c r="JR2" s="771"/>
      <c r="JS2" s="771"/>
      <c r="JT2" s="771"/>
      <c r="JU2" s="771"/>
      <c r="JV2" s="771"/>
      <c r="JW2" s="771"/>
      <c r="JX2" s="771"/>
      <c r="JY2" s="771"/>
      <c r="JZ2" s="771"/>
      <c r="KA2" s="771"/>
      <c r="KB2" s="771"/>
      <c r="KC2" s="771"/>
      <c r="KD2" s="771"/>
      <c r="KE2" s="771"/>
      <c r="KF2" s="771"/>
      <c r="KG2" s="771"/>
      <c r="KH2" s="771"/>
      <c r="KI2" s="771"/>
      <c r="KJ2" s="771"/>
      <c r="KK2" s="771"/>
      <c r="KL2" s="771"/>
      <c r="KM2" s="771"/>
      <c r="KN2" s="771"/>
      <c r="KO2" s="771"/>
      <c r="KP2" s="771"/>
      <c r="KQ2" s="771"/>
      <c r="KR2" s="771"/>
      <c r="KS2" s="771"/>
      <c r="KT2" s="771"/>
      <c r="KU2" s="771"/>
      <c r="KV2" s="771"/>
      <c r="KW2" s="771"/>
      <c r="KX2" s="771"/>
      <c r="KY2" s="771"/>
      <c r="KZ2" s="771"/>
      <c r="LA2" s="771"/>
      <c r="LB2" s="771"/>
      <c r="LC2" s="771"/>
      <c r="LD2" s="771"/>
      <c r="LE2" s="771"/>
      <c r="LF2" s="771"/>
      <c r="LG2" s="771"/>
      <c r="LH2" s="771"/>
      <c r="LI2" s="771"/>
      <c r="LJ2" s="771"/>
      <c r="LK2" s="771"/>
      <c r="LL2" s="771"/>
      <c r="LM2" s="771"/>
      <c r="LN2" s="771"/>
      <c r="LO2" s="771"/>
      <c r="LP2" s="771"/>
      <c r="LQ2" s="771"/>
      <c r="LR2" s="771"/>
      <c r="LS2" s="771"/>
      <c r="LT2" s="771"/>
      <c r="LU2" s="771"/>
      <c r="LV2" s="771"/>
      <c r="LW2" s="771"/>
      <c r="LX2" s="771"/>
      <c r="LY2" s="771"/>
      <c r="LZ2" s="771"/>
      <c r="MA2" s="771"/>
      <c r="MB2" s="771"/>
      <c r="MC2" s="771"/>
      <c r="MD2" s="771"/>
      <c r="ME2" s="771"/>
      <c r="MF2" s="771"/>
      <c r="MG2" s="771"/>
      <c r="MH2" s="771"/>
      <c r="MI2" s="771"/>
      <c r="MJ2" s="771"/>
      <c r="MK2" s="771"/>
      <c r="ML2" s="771"/>
      <c r="MM2" s="771"/>
      <c r="MN2" s="771"/>
      <c r="MO2" s="771"/>
      <c r="MP2" s="771"/>
      <c r="MQ2" s="771"/>
      <c r="MR2" s="771"/>
      <c r="MS2" s="771"/>
      <c r="MT2" s="771"/>
      <c r="MU2" s="771"/>
      <c r="MV2" s="771"/>
      <c r="MW2" s="771"/>
      <c r="MX2" s="771"/>
      <c r="MY2" s="771"/>
      <c r="MZ2" s="771"/>
      <c r="NA2" s="771"/>
      <c r="NB2" s="771"/>
      <c r="NC2" s="771"/>
      <c r="ND2" s="771"/>
      <c r="NE2" s="771"/>
      <c r="NF2" s="771"/>
      <c r="NG2" s="771"/>
      <c r="NH2" s="771"/>
      <c r="NI2" s="771"/>
      <c r="NJ2" s="771"/>
      <c r="NK2" s="771"/>
      <c r="NL2" s="771"/>
      <c r="NM2" s="771"/>
      <c r="NN2" s="771"/>
      <c r="NO2" s="771"/>
      <c r="NP2" s="771"/>
      <c r="NQ2" s="771"/>
      <c r="NR2" s="771"/>
      <c r="NS2" s="771"/>
      <c r="NT2" s="771"/>
      <c r="NU2" s="771"/>
      <c r="NV2" s="771"/>
      <c r="NW2" s="771"/>
      <c r="NX2" s="771"/>
      <c r="NY2" s="771"/>
      <c r="NZ2" s="771"/>
      <c r="OA2" s="771"/>
      <c r="OB2" s="771"/>
      <c r="OC2" s="771"/>
      <c r="OD2" s="771"/>
      <c r="OE2" s="771"/>
      <c r="OF2" s="771"/>
      <c r="OG2" s="771"/>
      <c r="OH2" s="771"/>
      <c r="OI2" s="771"/>
      <c r="OJ2" s="771"/>
      <c r="OK2" s="771"/>
      <c r="OL2" s="771"/>
      <c r="OM2" s="771"/>
      <c r="ON2" s="771"/>
      <c r="OO2" s="771"/>
      <c r="OP2" s="771"/>
      <c r="OQ2" s="771"/>
      <c r="OR2" s="771"/>
      <c r="OS2" s="771"/>
      <c r="OT2" s="771"/>
      <c r="OU2" s="771"/>
      <c r="OV2" s="771"/>
      <c r="OW2" s="771"/>
      <c r="OX2" s="771"/>
      <c r="OY2" s="771"/>
      <c r="OZ2" s="771"/>
      <c r="PA2" s="771"/>
      <c r="PB2" s="771"/>
      <c r="PC2" s="771"/>
      <c r="PD2" s="771"/>
      <c r="PE2" s="771"/>
      <c r="PF2" s="771"/>
      <c r="PG2" s="771"/>
      <c r="PH2" s="771"/>
      <c r="PI2" s="771"/>
      <c r="PJ2" s="771"/>
      <c r="PK2" s="771"/>
      <c r="PL2" s="771"/>
      <c r="PM2" s="771"/>
      <c r="PN2" s="771"/>
      <c r="PO2" s="771"/>
      <c r="PP2" s="771"/>
      <c r="PQ2" s="771"/>
      <c r="PR2" s="771"/>
      <c r="PS2" s="771"/>
      <c r="PT2" s="771"/>
      <c r="PU2" s="771"/>
      <c r="PV2" s="771"/>
      <c r="PW2" s="771"/>
      <c r="PX2" s="771"/>
      <c r="PY2" s="771"/>
      <c r="PZ2" s="771"/>
      <c r="QA2" s="771"/>
      <c r="QB2" s="771"/>
      <c r="QC2" s="771"/>
      <c r="QD2" s="771"/>
      <c r="QE2" s="771"/>
      <c r="QF2" s="771"/>
      <c r="QG2" s="771"/>
      <c r="QH2" s="771"/>
      <c r="QI2" s="771"/>
      <c r="QJ2" s="771"/>
      <c r="QK2" s="771"/>
      <c r="QL2" s="771"/>
      <c r="QM2" s="771"/>
      <c r="QN2" s="771"/>
      <c r="QO2" s="771"/>
      <c r="QP2" s="771"/>
      <c r="QQ2" s="771"/>
      <c r="QR2" s="771"/>
      <c r="QS2" s="771"/>
      <c r="QT2" s="771"/>
      <c r="QU2" s="771"/>
      <c r="QV2" s="771"/>
      <c r="QW2" s="771"/>
      <c r="QX2" s="771"/>
      <c r="QY2" s="771"/>
      <c r="QZ2" s="771"/>
      <c r="RA2" s="771"/>
      <c r="RB2" s="771"/>
      <c r="RC2" s="771"/>
      <c r="RD2" s="771"/>
      <c r="RE2" s="771"/>
      <c r="RF2" s="771"/>
      <c r="RG2" s="771"/>
      <c r="RH2" s="771"/>
      <c r="RI2" s="771"/>
      <c r="RJ2" s="771"/>
      <c r="RK2" s="771"/>
      <c r="RL2" s="771"/>
      <c r="RM2" s="771"/>
      <c r="RN2" s="771"/>
      <c r="RO2" s="771"/>
      <c r="RP2" s="771"/>
      <c r="RQ2" s="771"/>
      <c r="RR2" s="771"/>
      <c r="RS2" s="771"/>
      <c r="RT2" s="771"/>
      <c r="RU2" s="771"/>
      <c r="RV2" s="771"/>
      <c r="RW2" s="771"/>
      <c r="RX2" s="771"/>
      <c r="RY2" s="771"/>
      <c r="RZ2" s="771"/>
      <c r="SA2" s="771"/>
      <c r="SB2" s="771"/>
      <c r="SC2" s="771"/>
      <c r="SD2" s="771"/>
      <c r="SE2" s="771"/>
      <c r="SF2" s="771"/>
      <c r="SG2" s="771"/>
      <c r="SH2" s="771"/>
      <c r="SI2" s="771"/>
      <c r="SJ2" s="771"/>
      <c r="SK2" s="771"/>
      <c r="SL2" s="771"/>
      <c r="SM2" s="771"/>
      <c r="SN2" s="771"/>
      <c r="SO2" s="771"/>
      <c r="SP2" s="771"/>
      <c r="SQ2" s="771"/>
      <c r="SR2" s="771"/>
      <c r="SS2" s="771"/>
      <c r="ST2" s="771"/>
      <c r="SU2" s="771"/>
      <c r="SV2" s="771"/>
      <c r="SW2" s="771"/>
      <c r="SX2" s="771"/>
      <c r="SY2" s="771"/>
      <c r="SZ2" s="771"/>
      <c r="TA2" s="771"/>
      <c r="TB2" s="771"/>
      <c r="TC2" s="771"/>
      <c r="TD2" s="771"/>
      <c r="TE2" s="771"/>
      <c r="TF2" s="771"/>
      <c r="TG2" s="771"/>
      <c r="TH2" s="771"/>
      <c r="TI2" s="771"/>
      <c r="TJ2" s="771"/>
      <c r="TK2" s="771"/>
      <c r="TL2" s="771"/>
      <c r="TM2" s="771"/>
      <c r="TN2" s="771"/>
      <c r="TO2" s="771"/>
      <c r="TP2" s="771"/>
      <c r="TQ2" s="771"/>
      <c r="TR2" s="771"/>
      <c r="TS2" s="771"/>
      <c r="TT2" s="771"/>
      <c r="TU2" s="771"/>
      <c r="TV2" s="771"/>
      <c r="TW2" s="771"/>
      <c r="TX2" s="771"/>
      <c r="TY2" s="771"/>
      <c r="TZ2" s="771"/>
      <c r="UA2" s="771"/>
      <c r="UB2" s="771"/>
      <c r="UC2" s="771"/>
      <c r="UD2" s="771"/>
      <c r="UE2" s="771"/>
      <c r="UF2" s="771"/>
      <c r="UG2" s="771"/>
      <c r="UH2" s="771"/>
      <c r="UI2" s="771"/>
      <c r="UJ2" s="771"/>
      <c r="UK2" s="771"/>
      <c r="UL2" s="771"/>
      <c r="UM2" s="771"/>
      <c r="UN2" s="771"/>
      <c r="UO2" s="771"/>
      <c r="UP2" s="771"/>
      <c r="UQ2" s="771"/>
      <c r="UR2" s="771"/>
      <c r="US2" s="771"/>
      <c r="UT2" s="771"/>
      <c r="UU2" s="771"/>
      <c r="UV2" s="771"/>
      <c r="UW2" s="771"/>
      <c r="UX2" s="771"/>
      <c r="UY2" s="771"/>
      <c r="UZ2" s="771"/>
      <c r="VA2" s="771"/>
      <c r="VB2" s="771"/>
      <c r="VC2" s="771"/>
      <c r="VD2" s="771"/>
      <c r="VE2" s="771"/>
      <c r="VF2" s="771"/>
      <c r="VG2" s="771"/>
      <c r="VH2" s="771"/>
      <c r="VI2" s="771"/>
      <c r="VJ2" s="771"/>
      <c r="VK2" s="771"/>
      <c r="VL2" s="771"/>
      <c r="VM2" s="771"/>
      <c r="VN2" s="771"/>
      <c r="VO2" s="771"/>
      <c r="VP2" s="771"/>
      <c r="VQ2" s="771"/>
      <c r="VR2" s="771"/>
      <c r="VS2" s="771"/>
      <c r="VT2" s="771"/>
      <c r="VU2" s="771"/>
      <c r="VV2" s="771"/>
      <c r="VW2" s="771"/>
      <c r="VX2" s="771"/>
      <c r="VY2" s="771"/>
      <c r="VZ2" s="771"/>
      <c r="WA2" s="771"/>
      <c r="WB2" s="771"/>
      <c r="WC2" s="771"/>
      <c r="WD2" s="771"/>
      <c r="WE2" s="771"/>
      <c r="WF2" s="771"/>
      <c r="WG2" s="771"/>
      <c r="WH2" s="771"/>
      <c r="WI2" s="771"/>
      <c r="WJ2" s="771"/>
      <c r="WK2" s="771"/>
      <c r="WL2" s="771"/>
      <c r="WM2" s="771"/>
      <c r="WN2" s="771"/>
      <c r="WO2" s="771"/>
      <c r="WP2" s="771"/>
      <c r="WQ2" s="771"/>
      <c r="WR2" s="771"/>
      <c r="WS2" s="771"/>
      <c r="WT2" s="771"/>
      <c r="WU2" s="771"/>
      <c r="WV2" s="771"/>
      <c r="WW2" s="771"/>
      <c r="WX2" s="771"/>
      <c r="WY2" s="771"/>
      <c r="WZ2" s="771"/>
      <c r="XA2" s="771"/>
      <c r="XB2" s="771"/>
      <c r="XC2" s="771"/>
      <c r="XD2" s="771"/>
      <c r="XE2" s="771"/>
      <c r="XF2" s="771"/>
      <c r="XG2" s="771"/>
      <c r="XH2" s="771"/>
      <c r="XI2" s="771"/>
      <c r="XJ2" s="771"/>
      <c r="XK2" s="771"/>
      <c r="XL2" s="771"/>
      <c r="XM2" s="771"/>
      <c r="XN2" s="771"/>
      <c r="XO2" s="771"/>
      <c r="XP2" s="771"/>
      <c r="XQ2" s="771"/>
      <c r="XR2" s="771"/>
      <c r="XS2" s="771"/>
      <c r="XT2" s="771"/>
      <c r="XU2" s="771"/>
      <c r="XV2" s="771"/>
      <c r="XW2" s="771"/>
      <c r="XX2" s="771"/>
      <c r="XY2" s="771"/>
      <c r="XZ2" s="771"/>
      <c r="YA2" s="771"/>
      <c r="YB2" s="771"/>
      <c r="YC2" s="771"/>
      <c r="YD2" s="771"/>
      <c r="YE2" s="771"/>
      <c r="YF2" s="771"/>
      <c r="YG2" s="771"/>
      <c r="YH2" s="771"/>
      <c r="YI2" s="771"/>
      <c r="YJ2" s="771"/>
      <c r="YK2" s="771"/>
      <c r="YL2" s="771"/>
      <c r="YM2" s="771"/>
      <c r="YN2" s="771"/>
      <c r="YO2" s="771"/>
      <c r="YP2" s="771"/>
      <c r="YQ2" s="771"/>
      <c r="YR2" s="771"/>
      <c r="YS2" s="771"/>
      <c r="YT2" s="771"/>
      <c r="YU2" s="771"/>
      <c r="YV2" s="771"/>
      <c r="YW2" s="771"/>
      <c r="YX2" s="771"/>
      <c r="YY2" s="771"/>
      <c r="YZ2" s="771"/>
      <c r="ZA2" s="771"/>
      <c r="ZB2" s="771"/>
      <c r="ZC2" s="771"/>
      <c r="ZD2" s="771"/>
      <c r="ZE2" s="771"/>
      <c r="ZF2" s="771"/>
      <c r="ZG2" s="771"/>
      <c r="ZH2" s="771"/>
      <c r="ZI2" s="771"/>
      <c r="ZJ2" s="771"/>
      <c r="ZK2" s="771"/>
      <c r="ZL2" s="771"/>
      <c r="ZM2" s="771"/>
      <c r="ZN2" s="771"/>
      <c r="ZO2" s="771"/>
      <c r="ZP2" s="771"/>
      <c r="ZQ2" s="771"/>
      <c r="ZR2" s="771"/>
      <c r="ZS2" s="771"/>
      <c r="ZT2" s="771"/>
      <c r="ZU2" s="771"/>
      <c r="ZV2" s="771"/>
      <c r="ZW2" s="771"/>
      <c r="ZX2" s="771"/>
      <c r="ZY2" s="771"/>
      <c r="ZZ2" s="771"/>
      <c r="AAA2" s="771"/>
      <c r="AAB2" s="771"/>
      <c r="AAC2" s="771"/>
      <c r="AAD2" s="771"/>
      <c r="AAE2" s="771"/>
      <c r="AAF2" s="771"/>
      <c r="AAG2" s="771"/>
      <c r="AAH2" s="771"/>
      <c r="AAI2" s="771"/>
      <c r="AAJ2" s="771"/>
      <c r="AAK2" s="771"/>
      <c r="AAL2" s="771"/>
      <c r="AAM2" s="771"/>
      <c r="AAN2" s="771"/>
      <c r="AAO2" s="771"/>
      <c r="AAP2" s="771"/>
      <c r="AAQ2" s="771"/>
      <c r="AAR2" s="771"/>
      <c r="AAS2" s="771"/>
      <c r="AAT2" s="771"/>
      <c r="AAU2" s="771"/>
      <c r="AAV2" s="771"/>
      <c r="AAW2" s="771"/>
      <c r="AAX2" s="771"/>
      <c r="AAY2" s="771"/>
      <c r="AAZ2" s="771"/>
      <c r="ABA2" s="771"/>
      <c r="ABB2" s="771"/>
      <c r="ABC2" s="771"/>
      <c r="ABD2" s="771"/>
      <c r="ABE2" s="771"/>
      <c r="ABF2" s="771"/>
      <c r="ABG2" s="771"/>
      <c r="ABH2" s="771"/>
      <c r="ABI2" s="771"/>
      <c r="ABJ2" s="771"/>
      <c r="ABK2" s="771"/>
      <c r="ABL2" s="771"/>
      <c r="ABM2" s="771"/>
      <c r="ABN2" s="771"/>
      <c r="ABO2" s="771"/>
      <c r="ABP2" s="771"/>
      <c r="ABQ2" s="771"/>
      <c r="ABR2" s="771"/>
      <c r="ABS2" s="771"/>
      <c r="ABT2" s="771"/>
      <c r="ABU2" s="771"/>
      <c r="ABV2" s="771"/>
      <c r="ABW2" s="771"/>
      <c r="ABX2" s="771"/>
      <c r="ABY2" s="771"/>
      <c r="ABZ2" s="771"/>
      <c r="ACA2" s="771"/>
      <c r="ACB2" s="771"/>
      <c r="ACC2" s="771"/>
      <c r="ACD2" s="771"/>
      <c r="ACE2" s="771"/>
      <c r="ACF2" s="771"/>
      <c r="ACG2" s="771"/>
      <c r="ACH2" s="771"/>
      <c r="ACI2" s="771"/>
      <c r="ACJ2" s="771"/>
      <c r="ACK2" s="771"/>
      <c r="ACL2" s="771"/>
      <c r="ACM2" s="771"/>
      <c r="ACN2" s="771"/>
      <c r="ACO2" s="771"/>
      <c r="ACP2" s="771"/>
      <c r="ACQ2" s="771"/>
      <c r="ACR2" s="771"/>
      <c r="ACS2" s="771"/>
      <c r="ACT2" s="771"/>
      <c r="ACU2" s="771"/>
    </row>
    <row r="4" spans="1:778" s="2" customFormat="1" ht="19" thickBot="1" x14ac:dyDescent="0.5">
      <c r="A4" s="772" t="s">
        <v>0</v>
      </c>
      <c r="B4" s="773"/>
      <c r="C4" s="773"/>
      <c r="D4" s="773"/>
      <c r="E4" s="773"/>
      <c r="F4" s="773"/>
      <c r="G4" s="773"/>
      <c r="H4" s="773"/>
      <c r="I4" s="1"/>
      <c r="J4" s="1"/>
      <c r="S4" s="1"/>
      <c r="AB4" s="1"/>
      <c r="AK4" s="1"/>
      <c r="AT4" s="1"/>
      <c r="AV4" s="774" t="s">
        <v>1</v>
      </c>
      <c r="AW4" s="773"/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3"/>
      <c r="BM4" s="773"/>
      <c r="BN4" s="773"/>
      <c r="BO4" s="773"/>
      <c r="BP4" s="773"/>
      <c r="BQ4" s="773"/>
      <c r="BR4" s="773"/>
      <c r="BS4" s="773"/>
      <c r="BT4" s="773"/>
      <c r="BU4" s="773"/>
      <c r="BV4" s="773"/>
      <c r="BW4" s="773"/>
      <c r="BX4" s="773"/>
      <c r="BY4" s="773"/>
      <c r="BZ4" s="773"/>
      <c r="CA4" s="773"/>
      <c r="CB4" s="773"/>
      <c r="CC4" s="773"/>
      <c r="CD4" s="773"/>
      <c r="CE4" s="773"/>
      <c r="CF4" s="773"/>
      <c r="CG4" s="773"/>
      <c r="CH4" s="773"/>
      <c r="CI4" s="773"/>
      <c r="CJ4" s="773"/>
      <c r="CK4" s="773"/>
      <c r="CL4" s="773"/>
      <c r="CM4" s="773"/>
      <c r="CN4" s="773"/>
      <c r="CO4" s="773"/>
      <c r="CP4" s="773"/>
      <c r="CQ4" s="773"/>
      <c r="CR4" s="773"/>
      <c r="CS4" s="773"/>
      <c r="CT4" s="773"/>
      <c r="CU4" s="773"/>
      <c r="CV4" s="773"/>
      <c r="CW4" s="773"/>
      <c r="CX4" s="3"/>
      <c r="IR4" s="3"/>
      <c r="IU4" s="4"/>
      <c r="ACX4" s="5"/>
    </row>
    <row r="5" spans="1:778" s="2" customFormat="1" ht="15.5" thickTop="1" thickBot="1" x14ac:dyDescent="0.4">
      <c r="A5" s="775"/>
      <c r="B5" s="776"/>
      <c r="C5" s="777">
        <v>43283</v>
      </c>
      <c r="D5" s="778"/>
      <c r="E5" s="778"/>
      <c r="F5" s="778"/>
      <c r="G5" s="778"/>
      <c r="H5" s="778"/>
      <c r="I5" s="778"/>
      <c r="J5" s="779"/>
      <c r="K5" s="780"/>
      <c r="L5" s="777">
        <v>43284</v>
      </c>
      <c r="M5" s="778"/>
      <c r="N5" s="778"/>
      <c r="O5" s="778"/>
      <c r="P5" s="778"/>
      <c r="Q5" s="778"/>
      <c r="R5" s="778"/>
      <c r="S5" s="779"/>
      <c r="T5" s="780"/>
      <c r="U5" s="777">
        <v>43285</v>
      </c>
      <c r="V5" s="778"/>
      <c r="W5" s="778"/>
      <c r="X5" s="778"/>
      <c r="Y5" s="778"/>
      <c r="Z5" s="778"/>
      <c r="AA5" s="778"/>
      <c r="AB5" s="781"/>
      <c r="AC5" s="782"/>
      <c r="AD5" s="777">
        <v>43286</v>
      </c>
      <c r="AE5" s="778"/>
      <c r="AF5" s="778"/>
      <c r="AG5" s="778"/>
      <c r="AH5" s="778"/>
      <c r="AI5" s="778"/>
      <c r="AJ5" s="778"/>
      <c r="AK5" s="779"/>
      <c r="AL5" s="780"/>
      <c r="AM5" s="777">
        <v>43287</v>
      </c>
      <c r="AN5" s="778"/>
      <c r="AO5" s="778"/>
      <c r="AP5" s="778"/>
      <c r="AQ5" s="778"/>
      <c r="AR5" s="778"/>
      <c r="AS5" s="778"/>
      <c r="AT5" s="779"/>
      <c r="AU5" s="780"/>
      <c r="AV5" s="783" t="s">
        <v>2</v>
      </c>
      <c r="AW5" s="784"/>
      <c r="AX5" s="784"/>
      <c r="AY5" s="785"/>
      <c r="AZ5" s="6"/>
      <c r="BA5" s="777">
        <v>43290</v>
      </c>
      <c r="BB5" s="778"/>
      <c r="BC5" s="778"/>
      <c r="BD5" s="778"/>
      <c r="BE5" s="778"/>
      <c r="BF5" s="778"/>
      <c r="BG5" s="778"/>
      <c r="BH5" s="779"/>
      <c r="BI5" s="786"/>
      <c r="BJ5" s="792">
        <v>43291</v>
      </c>
      <c r="BK5" s="778"/>
      <c r="BL5" s="778"/>
      <c r="BM5" s="778"/>
      <c r="BN5" s="778"/>
      <c r="BO5" s="778"/>
      <c r="BP5" s="778"/>
      <c r="BQ5" s="779"/>
      <c r="BR5" s="780"/>
      <c r="BS5" s="777">
        <v>43292</v>
      </c>
      <c r="BT5" s="778"/>
      <c r="BU5" s="778"/>
      <c r="BV5" s="778"/>
      <c r="BW5" s="778"/>
      <c r="BX5" s="778"/>
      <c r="BY5" s="778"/>
      <c r="BZ5" s="779"/>
      <c r="CA5" s="780"/>
      <c r="CB5" s="777">
        <v>43293</v>
      </c>
      <c r="CC5" s="778"/>
      <c r="CD5" s="778"/>
      <c r="CE5" s="778"/>
      <c r="CF5" s="778"/>
      <c r="CG5" s="778"/>
      <c r="CH5" s="778"/>
      <c r="CI5" s="779"/>
      <c r="CJ5" s="780"/>
      <c r="CK5" s="777">
        <v>43294</v>
      </c>
      <c r="CL5" s="778"/>
      <c r="CM5" s="778"/>
      <c r="CN5" s="778"/>
      <c r="CO5" s="778"/>
      <c r="CP5" s="778"/>
      <c r="CQ5" s="778"/>
      <c r="CR5" s="779"/>
      <c r="CS5" s="779"/>
      <c r="CT5" s="793" t="s">
        <v>3</v>
      </c>
      <c r="CU5" s="794"/>
      <c r="CV5" s="794"/>
      <c r="CW5" s="795"/>
      <c r="CX5" s="3"/>
      <c r="CY5" s="777">
        <v>43297</v>
      </c>
      <c r="CZ5" s="778"/>
      <c r="DA5" s="778"/>
      <c r="DB5" s="778"/>
      <c r="DC5" s="778"/>
      <c r="DD5" s="778"/>
      <c r="DE5" s="778"/>
      <c r="DF5" s="779"/>
      <c r="DG5" s="780"/>
      <c r="DH5" s="777">
        <v>43298</v>
      </c>
      <c r="DI5" s="778"/>
      <c r="DJ5" s="778"/>
      <c r="DK5" s="778"/>
      <c r="DL5" s="778"/>
      <c r="DM5" s="778"/>
      <c r="DN5" s="778"/>
      <c r="DO5" s="779"/>
      <c r="DP5" s="780"/>
      <c r="DQ5" s="777">
        <v>43299</v>
      </c>
      <c r="DR5" s="778"/>
      <c r="DS5" s="778"/>
      <c r="DT5" s="778"/>
      <c r="DU5" s="778"/>
      <c r="DV5" s="778"/>
      <c r="DW5" s="778"/>
      <c r="DX5" s="779"/>
      <c r="DY5" s="780"/>
      <c r="DZ5" s="777">
        <v>43300</v>
      </c>
      <c r="EA5" s="778"/>
      <c r="EB5" s="778"/>
      <c r="EC5" s="778"/>
      <c r="ED5" s="778"/>
      <c r="EE5" s="778"/>
      <c r="EF5" s="778"/>
      <c r="EG5" s="779"/>
      <c r="EH5" s="779"/>
      <c r="EI5" s="787">
        <v>43301</v>
      </c>
      <c r="EJ5" s="778"/>
      <c r="EK5" s="778"/>
      <c r="EL5" s="778"/>
      <c r="EM5" s="778"/>
      <c r="EN5" s="778"/>
      <c r="EO5" s="778"/>
      <c r="EP5" s="779"/>
      <c r="EQ5" s="788"/>
      <c r="ER5" s="789" t="s">
        <v>4</v>
      </c>
      <c r="ES5" s="790"/>
      <c r="ET5" s="790"/>
      <c r="EU5" s="791"/>
      <c r="EW5" s="777">
        <v>43304</v>
      </c>
      <c r="EX5" s="778"/>
      <c r="EY5" s="778"/>
      <c r="EZ5" s="778"/>
      <c r="FA5" s="778"/>
      <c r="FB5" s="778"/>
      <c r="FC5" s="778"/>
      <c r="FD5" s="779"/>
      <c r="FE5" s="780"/>
      <c r="FF5" s="777">
        <v>43305</v>
      </c>
      <c r="FG5" s="778"/>
      <c r="FH5" s="778"/>
      <c r="FI5" s="778"/>
      <c r="FJ5" s="778"/>
      <c r="FK5" s="778"/>
      <c r="FL5" s="778"/>
      <c r="FM5" s="779"/>
      <c r="FN5" s="780"/>
      <c r="FO5" s="777">
        <v>43306</v>
      </c>
      <c r="FP5" s="778"/>
      <c r="FQ5" s="778"/>
      <c r="FR5" s="778"/>
      <c r="FS5" s="778"/>
      <c r="FT5" s="778"/>
      <c r="FU5" s="778"/>
      <c r="FV5" s="779"/>
      <c r="FW5" s="780"/>
      <c r="FX5" s="777">
        <v>43307</v>
      </c>
      <c r="FY5" s="778"/>
      <c r="FZ5" s="778"/>
      <c r="GA5" s="778"/>
      <c r="GB5" s="778"/>
      <c r="GC5" s="778"/>
      <c r="GD5" s="778"/>
      <c r="GE5" s="779"/>
      <c r="GF5" s="780"/>
      <c r="GG5" s="777">
        <v>43308</v>
      </c>
      <c r="GH5" s="778"/>
      <c r="GI5" s="778"/>
      <c r="GJ5" s="778"/>
      <c r="GK5" s="778"/>
      <c r="GL5" s="778"/>
      <c r="GM5" s="778"/>
      <c r="GN5" s="779"/>
      <c r="GO5" s="780"/>
      <c r="GP5" s="803" t="s">
        <v>5</v>
      </c>
      <c r="GQ5" s="804"/>
      <c r="GR5" s="804"/>
      <c r="GS5" s="805"/>
      <c r="GT5" s="777"/>
      <c r="GU5" s="778"/>
      <c r="GV5" s="778"/>
      <c r="GW5" s="778"/>
      <c r="GX5" s="778"/>
      <c r="GY5" s="778"/>
      <c r="GZ5" s="778"/>
      <c r="HA5" s="779"/>
      <c r="HB5" s="779"/>
      <c r="HC5" s="780"/>
      <c r="HD5" s="796"/>
      <c r="HE5" s="778"/>
      <c r="HF5" s="778"/>
      <c r="HG5" s="778"/>
      <c r="HH5" s="778"/>
      <c r="HI5" s="778"/>
      <c r="HJ5" s="778"/>
      <c r="HK5" s="779"/>
      <c r="HL5" s="779"/>
      <c r="HM5" s="780"/>
      <c r="HN5" s="796"/>
      <c r="HO5" s="778"/>
      <c r="HP5" s="778"/>
      <c r="HQ5" s="778"/>
      <c r="HR5" s="778"/>
      <c r="HS5" s="778"/>
      <c r="HT5" s="778"/>
      <c r="HU5" s="779"/>
      <c r="HV5" s="779"/>
      <c r="HW5" s="780"/>
      <c r="HX5" s="796"/>
      <c r="HY5" s="778"/>
      <c r="HZ5" s="778"/>
      <c r="IA5" s="778"/>
      <c r="IB5" s="778"/>
      <c r="IC5" s="778"/>
      <c r="ID5" s="778"/>
      <c r="IE5" s="779"/>
      <c r="IF5" s="779"/>
      <c r="IG5" s="780"/>
      <c r="IH5" s="796"/>
      <c r="II5" s="778"/>
      <c r="IJ5" s="778"/>
      <c r="IK5" s="778"/>
      <c r="IL5" s="778"/>
      <c r="IM5" s="778"/>
      <c r="IN5" s="778"/>
      <c r="IO5" s="779"/>
      <c r="IP5" s="779"/>
      <c r="IQ5" s="780"/>
      <c r="IR5" s="797" t="s">
        <v>6</v>
      </c>
      <c r="IS5" s="798"/>
      <c r="IT5" s="798"/>
      <c r="IU5" s="799"/>
      <c r="IV5" s="3"/>
      <c r="IW5" s="800" t="s">
        <v>7</v>
      </c>
      <c r="IX5" s="801"/>
      <c r="IY5" s="801"/>
      <c r="IZ5" s="802"/>
      <c r="JB5" s="7" t="s">
        <v>8</v>
      </c>
      <c r="JC5" s="777">
        <v>43255</v>
      </c>
      <c r="JD5" s="778"/>
      <c r="JE5" s="778"/>
      <c r="JF5" s="778"/>
      <c r="JG5" s="778"/>
      <c r="JH5" s="778"/>
      <c r="JI5" s="778"/>
      <c r="JJ5" s="779"/>
      <c r="JK5" s="779"/>
      <c r="JL5" s="780"/>
      <c r="JM5" s="796">
        <v>43256</v>
      </c>
      <c r="JN5" s="778"/>
      <c r="JO5" s="778"/>
      <c r="JP5" s="778"/>
      <c r="JQ5" s="778"/>
      <c r="JR5" s="778"/>
      <c r="JS5" s="778"/>
      <c r="JT5" s="779"/>
      <c r="JU5" s="779"/>
      <c r="JV5" s="780"/>
      <c r="JW5" s="796">
        <v>43257</v>
      </c>
      <c r="JX5" s="778"/>
      <c r="JY5" s="778"/>
      <c r="JZ5" s="778"/>
      <c r="KA5" s="778"/>
      <c r="KB5" s="778"/>
      <c r="KC5" s="778"/>
      <c r="KD5" s="779"/>
      <c r="KE5" s="779"/>
      <c r="KF5" s="780"/>
      <c r="KG5" s="796">
        <v>43258</v>
      </c>
      <c r="KH5" s="778"/>
      <c r="KI5" s="778"/>
      <c r="KJ5" s="778"/>
      <c r="KK5" s="778"/>
      <c r="KL5" s="778"/>
      <c r="KM5" s="778"/>
      <c r="KN5" s="779"/>
      <c r="KO5" s="779"/>
      <c r="KP5" s="780"/>
      <c r="KQ5" s="796">
        <v>43259</v>
      </c>
      <c r="KR5" s="778"/>
      <c r="KS5" s="778"/>
      <c r="KT5" s="778"/>
      <c r="KU5" s="778"/>
      <c r="KV5" s="778"/>
      <c r="KW5" s="778"/>
      <c r="KX5" s="779"/>
      <c r="KY5" s="779"/>
      <c r="KZ5" s="780"/>
      <c r="LA5" s="783" t="s">
        <v>9</v>
      </c>
      <c r="LB5" s="806"/>
      <c r="LC5" s="806"/>
      <c r="LD5" s="806"/>
      <c r="LE5" s="807"/>
      <c r="LF5" s="8"/>
      <c r="LG5" s="9" t="s">
        <v>10</v>
      </c>
      <c r="LH5" s="777">
        <v>43262</v>
      </c>
      <c r="LI5" s="778"/>
      <c r="LJ5" s="778"/>
      <c r="LK5" s="778"/>
      <c r="LL5" s="778"/>
      <c r="LM5" s="778"/>
      <c r="LN5" s="778"/>
      <c r="LO5" s="779"/>
      <c r="LP5" s="779"/>
      <c r="LQ5" s="780"/>
      <c r="LR5" s="777">
        <v>43263</v>
      </c>
      <c r="LS5" s="778"/>
      <c r="LT5" s="778"/>
      <c r="LU5" s="778"/>
      <c r="LV5" s="778"/>
      <c r="LW5" s="778"/>
      <c r="LX5" s="778"/>
      <c r="LY5" s="779"/>
      <c r="LZ5" s="779"/>
      <c r="MA5" s="780"/>
      <c r="MB5" s="777">
        <v>43264</v>
      </c>
      <c r="MC5" s="778"/>
      <c r="MD5" s="778"/>
      <c r="ME5" s="778"/>
      <c r="MF5" s="778"/>
      <c r="MG5" s="778"/>
      <c r="MH5" s="778"/>
      <c r="MI5" s="779"/>
      <c r="MJ5" s="779"/>
      <c r="MK5" s="780"/>
      <c r="ML5" s="777">
        <v>43265</v>
      </c>
      <c r="MM5" s="778"/>
      <c r="MN5" s="778"/>
      <c r="MO5" s="778"/>
      <c r="MP5" s="778"/>
      <c r="MQ5" s="778"/>
      <c r="MR5" s="778"/>
      <c r="MS5" s="779"/>
      <c r="MT5" s="779"/>
      <c r="MU5" s="780"/>
      <c r="MV5" s="777">
        <v>43266</v>
      </c>
      <c r="MW5" s="778"/>
      <c r="MX5" s="778"/>
      <c r="MY5" s="778"/>
      <c r="MZ5" s="778"/>
      <c r="NA5" s="778"/>
      <c r="NB5" s="778"/>
      <c r="NC5" s="779"/>
      <c r="ND5" s="779"/>
      <c r="NE5" s="780"/>
      <c r="NF5" s="793" t="s">
        <v>11</v>
      </c>
      <c r="NG5" s="794"/>
      <c r="NH5" s="794"/>
      <c r="NI5" s="794"/>
      <c r="NJ5" s="795"/>
      <c r="NK5" s="10"/>
      <c r="NL5" s="9" t="s">
        <v>12</v>
      </c>
      <c r="NM5" s="777">
        <v>43269</v>
      </c>
      <c r="NN5" s="778"/>
      <c r="NO5" s="778"/>
      <c r="NP5" s="778"/>
      <c r="NQ5" s="778"/>
      <c r="NR5" s="778"/>
      <c r="NS5" s="778"/>
      <c r="NT5" s="779"/>
      <c r="NU5" s="779"/>
      <c r="NV5" s="780"/>
      <c r="NW5" s="777">
        <v>43270</v>
      </c>
      <c r="NX5" s="778"/>
      <c r="NY5" s="778"/>
      <c r="NZ5" s="778"/>
      <c r="OA5" s="778"/>
      <c r="OB5" s="778"/>
      <c r="OC5" s="778"/>
      <c r="OD5" s="779"/>
      <c r="OE5" s="779"/>
      <c r="OF5" s="780"/>
      <c r="OG5" s="777">
        <v>43271</v>
      </c>
      <c r="OH5" s="778"/>
      <c r="OI5" s="778"/>
      <c r="OJ5" s="778"/>
      <c r="OK5" s="778"/>
      <c r="OL5" s="778"/>
      <c r="OM5" s="778"/>
      <c r="ON5" s="779"/>
      <c r="OO5" s="779"/>
      <c r="OP5" s="780"/>
      <c r="OQ5" s="777">
        <v>43272</v>
      </c>
      <c r="OR5" s="778"/>
      <c r="OS5" s="778"/>
      <c r="OT5" s="778"/>
      <c r="OU5" s="778"/>
      <c r="OV5" s="778"/>
      <c r="OW5" s="778"/>
      <c r="OX5" s="779"/>
      <c r="OY5" s="779"/>
      <c r="OZ5" s="780"/>
      <c r="PA5" s="777">
        <v>43273</v>
      </c>
      <c r="PB5" s="778"/>
      <c r="PC5" s="778"/>
      <c r="PD5" s="778"/>
      <c r="PE5" s="778"/>
      <c r="PF5" s="778"/>
      <c r="PG5" s="778"/>
      <c r="PH5" s="779"/>
      <c r="PI5" s="779"/>
      <c r="PJ5" s="780"/>
      <c r="PK5" s="808" t="s">
        <v>13</v>
      </c>
      <c r="PL5" s="809"/>
      <c r="PM5" s="809"/>
      <c r="PN5" s="809"/>
      <c r="PO5" s="810"/>
      <c r="PP5" s="10"/>
      <c r="PQ5" s="9" t="s">
        <v>14</v>
      </c>
      <c r="PR5" s="777">
        <v>43276</v>
      </c>
      <c r="PS5" s="778"/>
      <c r="PT5" s="778"/>
      <c r="PU5" s="778"/>
      <c r="PV5" s="778"/>
      <c r="PW5" s="778"/>
      <c r="PX5" s="778"/>
      <c r="PY5" s="779"/>
      <c r="PZ5" s="779"/>
      <c r="QA5" s="780"/>
      <c r="QB5" s="777">
        <v>43277</v>
      </c>
      <c r="QC5" s="778"/>
      <c r="QD5" s="778"/>
      <c r="QE5" s="778"/>
      <c r="QF5" s="778"/>
      <c r="QG5" s="778"/>
      <c r="QH5" s="778"/>
      <c r="QI5" s="779"/>
      <c r="QJ5" s="779"/>
      <c r="QK5" s="780"/>
      <c r="QL5" s="777">
        <v>43278</v>
      </c>
      <c r="QM5" s="778"/>
      <c r="QN5" s="778"/>
      <c r="QO5" s="778"/>
      <c r="QP5" s="778"/>
      <c r="QQ5" s="778"/>
      <c r="QR5" s="778"/>
      <c r="QS5" s="779"/>
      <c r="QT5" s="779"/>
      <c r="QU5" s="780"/>
      <c r="QV5" s="777">
        <v>43279</v>
      </c>
      <c r="QW5" s="778"/>
      <c r="QX5" s="778"/>
      <c r="QY5" s="778"/>
      <c r="QZ5" s="778"/>
      <c r="RA5" s="778"/>
      <c r="RB5" s="778"/>
      <c r="RC5" s="779"/>
      <c r="RD5" s="779"/>
      <c r="RE5" s="780"/>
      <c r="RF5" s="777">
        <v>43280</v>
      </c>
      <c r="RG5" s="778"/>
      <c r="RH5" s="778"/>
      <c r="RI5" s="778"/>
      <c r="RJ5" s="778"/>
      <c r="RK5" s="778"/>
      <c r="RL5" s="778"/>
      <c r="RM5" s="779"/>
      <c r="RN5" s="779"/>
      <c r="RO5" s="780"/>
      <c r="RP5" s="803" t="s">
        <v>15</v>
      </c>
      <c r="RQ5" s="804"/>
      <c r="RR5" s="804"/>
      <c r="RS5" s="804"/>
      <c r="RT5" s="805"/>
      <c r="RV5" s="814" t="s">
        <v>16</v>
      </c>
      <c r="RW5" s="815"/>
      <c r="RX5" s="815"/>
      <c r="RY5" s="816"/>
      <c r="SA5" s="11" t="s">
        <v>17</v>
      </c>
      <c r="SB5" s="777">
        <v>43220</v>
      </c>
      <c r="SC5" s="778"/>
      <c r="SD5" s="778"/>
      <c r="SE5" s="778"/>
      <c r="SF5" s="778"/>
      <c r="SG5" s="778"/>
      <c r="SH5" s="778"/>
      <c r="SI5" s="779"/>
      <c r="SJ5" s="779"/>
      <c r="SK5" s="786"/>
      <c r="SL5" s="777">
        <v>43221</v>
      </c>
      <c r="SM5" s="778"/>
      <c r="SN5" s="778"/>
      <c r="SO5" s="778"/>
      <c r="SP5" s="778"/>
      <c r="SQ5" s="778"/>
      <c r="SR5" s="778"/>
      <c r="SS5" s="779"/>
      <c r="ST5" s="779"/>
      <c r="SU5" s="786"/>
      <c r="SV5" s="777">
        <v>43222</v>
      </c>
      <c r="SW5" s="778"/>
      <c r="SX5" s="778"/>
      <c r="SY5" s="778"/>
      <c r="SZ5" s="778"/>
      <c r="TA5" s="778"/>
      <c r="TB5" s="778"/>
      <c r="TC5" s="779"/>
      <c r="TD5" s="779"/>
      <c r="TE5" s="786"/>
      <c r="TF5" s="777">
        <v>43223</v>
      </c>
      <c r="TG5" s="778"/>
      <c r="TH5" s="778"/>
      <c r="TI5" s="778"/>
      <c r="TJ5" s="778"/>
      <c r="TK5" s="778"/>
      <c r="TL5" s="778"/>
      <c r="TM5" s="779"/>
      <c r="TN5" s="779"/>
      <c r="TO5" s="786"/>
      <c r="TP5" s="777">
        <v>43224</v>
      </c>
      <c r="TQ5" s="778"/>
      <c r="TR5" s="778"/>
      <c r="TS5" s="778"/>
      <c r="TT5" s="778"/>
      <c r="TU5" s="778"/>
      <c r="TV5" s="778"/>
      <c r="TW5" s="779"/>
      <c r="TX5" s="779"/>
      <c r="TY5" s="779"/>
      <c r="TZ5" s="811" t="s">
        <v>18</v>
      </c>
      <c r="UA5" s="812"/>
      <c r="UB5" s="812"/>
      <c r="UC5" s="813"/>
      <c r="UD5" s="4"/>
      <c r="UE5" s="12" t="s">
        <v>19</v>
      </c>
      <c r="UF5" s="777">
        <v>43227</v>
      </c>
      <c r="UG5" s="778"/>
      <c r="UH5" s="778"/>
      <c r="UI5" s="778"/>
      <c r="UJ5" s="778"/>
      <c r="UK5" s="778"/>
      <c r="UL5" s="778"/>
      <c r="UM5" s="779"/>
      <c r="UN5" s="779"/>
      <c r="UO5" s="786"/>
      <c r="UP5" s="777">
        <v>43228</v>
      </c>
      <c r="UQ5" s="778"/>
      <c r="UR5" s="778"/>
      <c r="US5" s="778"/>
      <c r="UT5" s="778"/>
      <c r="UU5" s="778"/>
      <c r="UV5" s="778"/>
      <c r="UW5" s="779"/>
      <c r="UX5" s="779"/>
      <c r="UY5" s="786"/>
      <c r="UZ5" s="777">
        <v>43229</v>
      </c>
      <c r="VA5" s="778"/>
      <c r="VB5" s="778"/>
      <c r="VC5" s="778"/>
      <c r="VD5" s="778"/>
      <c r="VE5" s="778"/>
      <c r="VF5" s="778"/>
      <c r="VG5" s="779"/>
      <c r="VH5" s="779"/>
      <c r="VI5" s="786"/>
      <c r="VJ5" s="777">
        <v>43230</v>
      </c>
      <c r="VK5" s="778"/>
      <c r="VL5" s="778"/>
      <c r="VM5" s="778"/>
      <c r="VN5" s="778"/>
      <c r="VO5" s="778"/>
      <c r="VP5" s="778"/>
      <c r="VQ5" s="779"/>
      <c r="VR5" s="779"/>
      <c r="VS5" s="786"/>
      <c r="VT5" s="777">
        <v>43231</v>
      </c>
      <c r="VU5" s="778"/>
      <c r="VV5" s="778"/>
      <c r="VW5" s="778"/>
      <c r="VX5" s="778"/>
      <c r="VY5" s="778"/>
      <c r="VZ5" s="778"/>
      <c r="WA5" s="779"/>
      <c r="WB5" s="779"/>
      <c r="WC5" s="786"/>
      <c r="WD5" s="817" t="s">
        <v>20</v>
      </c>
      <c r="WE5" s="818"/>
      <c r="WF5" s="818"/>
      <c r="WG5" s="819"/>
      <c r="WH5" s="13"/>
      <c r="WI5" s="14" t="s">
        <v>21</v>
      </c>
      <c r="WJ5" s="787">
        <v>43234</v>
      </c>
      <c r="WK5" s="778"/>
      <c r="WL5" s="778"/>
      <c r="WM5" s="778"/>
      <c r="WN5" s="778"/>
      <c r="WO5" s="778"/>
      <c r="WP5" s="778"/>
      <c r="WQ5" s="779"/>
      <c r="WR5" s="779"/>
      <c r="WS5" s="786"/>
      <c r="WT5" s="777">
        <v>43235</v>
      </c>
      <c r="WU5" s="778"/>
      <c r="WV5" s="778"/>
      <c r="WW5" s="778"/>
      <c r="WX5" s="778"/>
      <c r="WY5" s="778"/>
      <c r="WZ5" s="778"/>
      <c r="XA5" s="779"/>
      <c r="XB5" s="779"/>
      <c r="XC5" s="786"/>
      <c r="XD5" s="777">
        <v>43236</v>
      </c>
      <c r="XE5" s="778"/>
      <c r="XF5" s="778"/>
      <c r="XG5" s="778"/>
      <c r="XH5" s="778"/>
      <c r="XI5" s="778"/>
      <c r="XJ5" s="778"/>
      <c r="XK5" s="779"/>
      <c r="XL5" s="779"/>
      <c r="XM5" s="786"/>
      <c r="XN5" s="777">
        <v>43237</v>
      </c>
      <c r="XO5" s="778"/>
      <c r="XP5" s="778"/>
      <c r="XQ5" s="778"/>
      <c r="XR5" s="778"/>
      <c r="XS5" s="778"/>
      <c r="XT5" s="778"/>
      <c r="XU5" s="779"/>
      <c r="XV5" s="779"/>
      <c r="XW5" s="786"/>
      <c r="XX5" s="777">
        <v>43238</v>
      </c>
      <c r="XY5" s="778"/>
      <c r="XZ5" s="778"/>
      <c r="YA5" s="778"/>
      <c r="YB5" s="778"/>
      <c r="YC5" s="778"/>
      <c r="YD5" s="778"/>
      <c r="YE5" s="779"/>
      <c r="YF5" s="779"/>
      <c r="YG5" s="788"/>
      <c r="YH5" s="846" t="s">
        <v>22</v>
      </c>
      <c r="YI5" s="847"/>
      <c r="YJ5" s="847"/>
      <c r="YK5" s="848"/>
      <c r="YL5" s="15"/>
      <c r="YM5" s="787">
        <v>43241</v>
      </c>
      <c r="YN5" s="778"/>
      <c r="YO5" s="778"/>
      <c r="YP5" s="778"/>
      <c r="YQ5" s="778"/>
      <c r="YR5" s="778"/>
      <c r="YS5" s="778"/>
      <c r="YT5" s="779"/>
      <c r="YU5" s="779"/>
      <c r="YV5" s="786"/>
      <c r="YW5" s="777">
        <v>43242</v>
      </c>
      <c r="YX5" s="778"/>
      <c r="YY5" s="778"/>
      <c r="YZ5" s="778"/>
      <c r="ZA5" s="778"/>
      <c r="ZB5" s="778"/>
      <c r="ZC5" s="778"/>
      <c r="ZD5" s="779"/>
      <c r="ZE5" s="779"/>
      <c r="ZF5" s="786"/>
      <c r="ZG5" s="777">
        <v>43243</v>
      </c>
      <c r="ZH5" s="778"/>
      <c r="ZI5" s="778"/>
      <c r="ZJ5" s="778"/>
      <c r="ZK5" s="778"/>
      <c r="ZL5" s="778"/>
      <c r="ZM5" s="778"/>
      <c r="ZN5" s="779"/>
      <c r="ZO5" s="779"/>
      <c r="ZP5" s="786"/>
      <c r="ZQ5" s="777">
        <v>43244</v>
      </c>
      <c r="ZR5" s="778"/>
      <c r="ZS5" s="778"/>
      <c r="ZT5" s="778"/>
      <c r="ZU5" s="778"/>
      <c r="ZV5" s="778"/>
      <c r="ZW5" s="778"/>
      <c r="ZX5" s="779"/>
      <c r="ZY5" s="779"/>
      <c r="ZZ5" s="786"/>
      <c r="AAA5" s="777">
        <v>43245</v>
      </c>
      <c r="AAB5" s="778"/>
      <c r="AAC5" s="778"/>
      <c r="AAD5" s="778"/>
      <c r="AAE5" s="778"/>
      <c r="AAF5" s="778"/>
      <c r="AAG5" s="778"/>
      <c r="AAH5" s="779"/>
      <c r="AAI5" s="779"/>
      <c r="AAJ5" s="786"/>
      <c r="AAK5" s="840" t="s">
        <v>23</v>
      </c>
      <c r="AAL5" s="841"/>
      <c r="AAM5" s="842"/>
      <c r="AAN5" s="14" t="s">
        <v>24</v>
      </c>
      <c r="AAO5" s="16"/>
      <c r="AAP5" s="17"/>
      <c r="AAQ5" s="17"/>
      <c r="AAR5" s="17"/>
      <c r="AAS5" s="17"/>
      <c r="AAT5" s="17"/>
      <c r="AAU5" s="17"/>
      <c r="AAV5" s="18"/>
      <c r="AAW5" s="18"/>
      <c r="AAX5" s="19"/>
      <c r="AAY5" s="20"/>
      <c r="AAZ5" s="777">
        <v>43249</v>
      </c>
      <c r="ABA5" s="778"/>
      <c r="ABB5" s="778"/>
      <c r="ABC5" s="778"/>
      <c r="ABD5" s="778"/>
      <c r="ABE5" s="778"/>
      <c r="ABF5" s="778"/>
      <c r="ABG5" s="779"/>
      <c r="ABH5" s="779"/>
      <c r="ABI5" s="786"/>
      <c r="ABJ5" s="777">
        <v>43250</v>
      </c>
      <c r="ABK5" s="778"/>
      <c r="ABL5" s="778"/>
      <c r="ABM5" s="778"/>
      <c r="ABN5" s="778"/>
      <c r="ABO5" s="778"/>
      <c r="ABP5" s="778"/>
      <c r="ABQ5" s="779"/>
      <c r="ABR5" s="779"/>
      <c r="ABS5" s="786"/>
      <c r="ABT5" s="777">
        <v>43251</v>
      </c>
      <c r="ABU5" s="778"/>
      <c r="ABV5" s="778"/>
      <c r="ABW5" s="778"/>
      <c r="ABX5" s="778"/>
      <c r="ABY5" s="778"/>
      <c r="ABZ5" s="778"/>
      <c r="ACA5" s="779"/>
      <c r="ACB5" s="779"/>
      <c r="ACC5" s="786"/>
      <c r="ACD5" s="777">
        <v>43252</v>
      </c>
      <c r="ACE5" s="778"/>
      <c r="ACF5" s="778"/>
      <c r="ACG5" s="778"/>
      <c r="ACH5" s="778"/>
      <c r="ACI5" s="778"/>
      <c r="ACJ5" s="778"/>
      <c r="ACK5" s="779"/>
      <c r="ACL5" s="779"/>
      <c r="ACM5" s="786"/>
      <c r="ACO5" s="21"/>
      <c r="ACP5" s="843" t="s">
        <v>25</v>
      </c>
      <c r="ACQ5" s="844"/>
      <c r="ACR5" s="845"/>
      <c r="ACS5" s="830" t="s">
        <v>26</v>
      </c>
      <c r="ACT5" s="831"/>
      <c r="ACU5" s="832"/>
      <c r="ACX5" s="5"/>
    </row>
    <row r="6" spans="1:778" s="2" customFormat="1" ht="15" customHeight="1" x14ac:dyDescent="0.35">
      <c r="A6" s="833" t="s">
        <v>27</v>
      </c>
      <c r="B6" s="834"/>
      <c r="C6" s="837" t="s">
        <v>28</v>
      </c>
      <c r="D6" s="820" t="s">
        <v>29</v>
      </c>
      <c r="E6" s="820" t="s">
        <v>30</v>
      </c>
      <c r="F6" s="820" t="s">
        <v>31</v>
      </c>
      <c r="G6" s="823" t="s">
        <v>32</v>
      </c>
      <c r="H6" s="823"/>
      <c r="I6" s="824"/>
      <c r="J6" s="825" t="s">
        <v>33</v>
      </c>
      <c r="K6" s="22"/>
      <c r="L6" s="827" t="s">
        <v>28</v>
      </c>
      <c r="M6" s="820" t="s">
        <v>29</v>
      </c>
      <c r="N6" s="820" t="s">
        <v>30</v>
      </c>
      <c r="O6" s="820" t="s">
        <v>31</v>
      </c>
      <c r="P6" s="823" t="s">
        <v>32</v>
      </c>
      <c r="Q6" s="823"/>
      <c r="R6" s="824"/>
      <c r="S6" s="825" t="s">
        <v>33</v>
      </c>
      <c r="T6" s="22"/>
      <c r="U6" s="827" t="s">
        <v>28</v>
      </c>
      <c r="V6" s="820" t="s">
        <v>29</v>
      </c>
      <c r="W6" s="820" t="s">
        <v>30</v>
      </c>
      <c r="X6" s="820" t="s">
        <v>31</v>
      </c>
      <c r="Y6" s="823" t="s">
        <v>32</v>
      </c>
      <c r="Z6" s="823"/>
      <c r="AA6" s="824"/>
      <c r="AB6" s="825" t="s">
        <v>33</v>
      </c>
      <c r="AC6" s="22"/>
      <c r="AD6" s="827" t="s">
        <v>28</v>
      </c>
      <c r="AE6" s="820" t="s">
        <v>29</v>
      </c>
      <c r="AF6" s="820" t="s">
        <v>30</v>
      </c>
      <c r="AG6" s="820" t="s">
        <v>31</v>
      </c>
      <c r="AH6" s="823" t="s">
        <v>32</v>
      </c>
      <c r="AI6" s="823"/>
      <c r="AJ6" s="824"/>
      <c r="AK6" s="825" t="s">
        <v>33</v>
      </c>
      <c r="AL6" s="23"/>
      <c r="AM6" s="827" t="s">
        <v>28</v>
      </c>
      <c r="AN6" s="820" t="s">
        <v>29</v>
      </c>
      <c r="AO6" s="820" t="s">
        <v>30</v>
      </c>
      <c r="AP6" s="820" t="s">
        <v>31</v>
      </c>
      <c r="AQ6" s="855" t="s">
        <v>32</v>
      </c>
      <c r="AR6" s="823"/>
      <c r="AS6" s="823"/>
      <c r="AT6" s="825" t="s">
        <v>33</v>
      </c>
      <c r="AU6" s="22"/>
      <c r="AV6" s="856" t="s">
        <v>34</v>
      </c>
      <c r="AW6" s="858" t="s">
        <v>35</v>
      </c>
      <c r="AX6" s="851" t="s">
        <v>36</v>
      </c>
      <c r="AY6" s="853" t="s">
        <v>37</v>
      </c>
      <c r="AZ6" s="24"/>
      <c r="BA6" s="837" t="s">
        <v>28</v>
      </c>
      <c r="BB6" s="820" t="s">
        <v>29</v>
      </c>
      <c r="BC6" s="820" t="s">
        <v>30</v>
      </c>
      <c r="BD6" s="820" t="s">
        <v>31</v>
      </c>
      <c r="BE6" s="823" t="s">
        <v>32</v>
      </c>
      <c r="BF6" s="823"/>
      <c r="BG6" s="824"/>
      <c r="BH6" s="825" t="s">
        <v>33</v>
      </c>
      <c r="BI6" s="25"/>
      <c r="BJ6" s="860" t="s">
        <v>28</v>
      </c>
      <c r="BK6" s="820" t="s">
        <v>29</v>
      </c>
      <c r="BL6" s="820" t="s">
        <v>30</v>
      </c>
      <c r="BM6" s="820" t="s">
        <v>31</v>
      </c>
      <c r="BN6" s="823" t="s">
        <v>32</v>
      </c>
      <c r="BO6" s="823"/>
      <c r="BP6" s="824"/>
      <c r="BQ6" s="825" t="s">
        <v>33</v>
      </c>
      <c r="BR6" s="22"/>
      <c r="BS6" s="827" t="s">
        <v>28</v>
      </c>
      <c r="BT6" s="820" t="s">
        <v>29</v>
      </c>
      <c r="BU6" s="820" t="s">
        <v>30</v>
      </c>
      <c r="BV6" s="820" t="s">
        <v>31</v>
      </c>
      <c r="BW6" s="823" t="s">
        <v>32</v>
      </c>
      <c r="BX6" s="823"/>
      <c r="BY6" s="824"/>
      <c r="BZ6" s="862" t="s">
        <v>33</v>
      </c>
      <c r="CA6" s="22"/>
      <c r="CB6" s="827" t="s">
        <v>28</v>
      </c>
      <c r="CC6" s="820" t="s">
        <v>29</v>
      </c>
      <c r="CD6" s="820" t="s">
        <v>30</v>
      </c>
      <c r="CE6" s="820" t="s">
        <v>31</v>
      </c>
      <c r="CF6" s="823" t="s">
        <v>32</v>
      </c>
      <c r="CG6" s="823"/>
      <c r="CH6" s="824"/>
      <c r="CI6" s="825" t="s">
        <v>33</v>
      </c>
      <c r="CJ6" s="23"/>
      <c r="CK6" s="827" t="s">
        <v>28</v>
      </c>
      <c r="CL6" s="820" t="s">
        <v>29</v>
      </c>
      <c r="CM6" s="820" t="s">
        <v>30</v>
      </c>
      <c r="CN6" s="820" t="s">
        <v>31</v>
      </c>
      <c r="CO6" s="855" t="s">
        <v>32</v>
      </c>
      <c r="CP6" s="823"/>
      <c r="CQ6" s="823"/>
      <c r="CR6" s="825" t="s">
        <v>33</v>
      </c>
      <c r="CS6" s="26"/>
      <c r="CT6" s="864" t="s">
        <v>34</v>
      </c>
      <c r="CU6" s="866" t="s">
        <v>38</v>
      </c>
      <c r="CV6" s="868" t="s">
        <v>36</v>
      </c>
      <c r="CW6" s="870" t="s">
        <v>37</v>
      </c>
      <c r="CX6" s="3"/>
      <c r="CY6" s="837" t="s">
        <v>28</v>
      </c>
      <c r="CZ6" s="820" t="s">
        <v>29</v>
      </c>
      <c r="DA6" s="820" t="s">
        <v>30</v>
      </c>
      <c r="DB6" s="820" t="s">
        <v>31</v>
      </c>
      <c r="DC6" s="823" t="s">
        <v>32</v>
      </c>
      <c r="DD6" s="823"/>
      <c r="DE6" s="824"/>
      <c r="DF6" s="825" t="s">
        <v>33</v>
      </c>
      <c r="DG6" s="22"/>
      <c r="DH6" s="827" t="s">
        <v>28</v>
      </c>
      <c r="DI6" s="820" t="s">
        <v>29</v>
      </c>
      <c r="DJ6" s="820" t="s">
        <v>30</v>
      </c>
      <c r="DK6" s="820" t="s">
        <v>31</v>
      </c>
      <c r="DL6" s="823" t="s">
        <v>32</v>
      </c>
      <c r="DM6" s="823"/>
      <c r="DN6" s="824"/>
      <c r="DO6" s="825" t="s">
        <v>33</v>
      </c>
      <c r="DP6" s="22"/>
      <c r="DQ6" s="827" t="s">
        <v>28</v>
      </c>
      <c r="DR6" s="820" t="s">
        <v>29</v>
      </c>
      <c r="DS6" s="820" t="s">
        <v>30</v>
      </c>
      <c r="DT6" s="820" t="s">
        <v>31</v>
      </c>
      <c r="DU6" s="823" t="s">
        <v>32</v>
      </c>
      <c r="DV6" s="823"/>
      <c r="DW6" s="824"/>
      <c r="DX6" s="825" t="s">
        <v>33</v>
      </c>
      <c r="DY6" s="22"/>
      <c r="DZ6" s="827" t="s">
        <v>28</v>
      </c>
      <c r="EA6" s="820" t="s">
        <v>29</v>
      </c>
      <c r="EB6" s="820" t="s">
        <v>30</v>
      </c>
      <c r="EC6" s="820" t="s">
        <v>31</v>
      </c>
      <c r="ED6" s="823" t="s">
        <v>32</v>
      </c>
      <c r="EE6" s="823"/>
      <c r="EF6" s="824"/>
      <c r="EG6" s="825" t="s">
        <v>33</v>
      </c>
      <c r="EH6" s="27"/>
      <c r="EI6" s="872" t="s">
        <v>28</v>
      </c>
      <c r="EJ6" s="820" t="s">
        <v>29</v>
      </c>
      <c r="EK6" s="820" t="s">
        <v>30</v>
      </c>
      <c r="EL6" s="820" t="s">
        <v>31</v>
      </c>
      <c r="EM6" s="855" t="s">
        <v>32</v>
      </c>
      <c r="EN6" s="823"/>
      <c r="EO6" s="823"/>
      <c r="EP6" s="825" t="s">
        <v>33</v>
      </c>
      <c r="EQ6" s="28"/>
      <c r="ER6" s="874" t="s">
        <v>34</v>
      </c>
      <c r="ES6" s="876" t="s">
        <v>38</v>
      </c>
      <c r="ET6" s="878" t="s">
        <v>36</v>
      </c>
      <c r="EU6" s="880" t="s">
        <v>37</v>
      </c>
      <c r="EW6" s="837" t="s">
        <v>28</v>
      </c>
      <c r="EX6" s="820" t="s">
        <v>29</v>
      </c>
      <c r="EY6" s="820" t="s">
        <v>30</v>
      </c>
      <c r="EZ6" s="820" t="s">
        <v>31</v>
      </c>
      <c r="FA6" s="823" t="s">
        <v>32</v>
      </c>
      <c r="FB6" s="823"/>
      <c r="FC6" s="824"/>
      <c r="FD6" s="825" t="s">
        <v>33</v>
      </c>
      <c r="FE6" s="22"/>
      <c r="FF6" s="827" t="s">
        <v>28</v>
      </c>
      <c r="FG6" s="820" t="s">
        <v>29</v>
      </c>
      <c r="FH6" s="820" t="s">
        <v>30</v>
      </c>
      <c r="FI6" s="820" t="s">
        <v>31</v>
      </c>
      <c r="FJ6" s="823" t="s">
        <v>32</v>
      </c>
      <c r="FK6" s="823"/>
      <c r="FL6" s="824"/>
      <c r="FM6" s="825" t="s">
        <v>33</v>
      </c>
      <c r="FN6" s="22"/>
      <c r="FO6" s="827" t="s">
        <v>28</v>
      </c>
      <c r="FP6" s="820" t="s">
        <v>29</v>
      </c>
      <c r="FQ6" s="820" t="s">
        <v>30</v>
      </c>
      <c r="FR6" s="820" t="s">
        <v>31</v>
      </c>
      <c r="FS6" s="823" t="s">
        <v>32</v>
      </c>
      <c r="FT6" s="823"/>
      <c r="FU6" s="824"/>
      <c r="FV6" s="825" t="s">
        <v>33</v>
      </c>
      <c r="FW6" s="22"/>
      <c r="FX6" s="827" t="s">
        <v>28</v>
      </c>
      <c r="FY6" s="820" t="s">
        <v>29</v>
      </c>
      <c r="FZ6" s="820" t="s">
        <v>30</v>
      </c>
      <c r="GA6" s="820" t="s">
        <v>31</v>
      </c>
      <c r="GB6" s="823" t="s">
        <v>32</v>
      </c>
      <c r="GC6" s="823"/>
      <c r="GD6" s="824"/>
      <c r="GE6" s="825" t="s">
        <v>33</v>
      </c>
      <c r="GF6" s="22"/>
      <c r="GG6" s="827" t="s">
        <v>28</v>
      </c>
      <c r="GH6" s="820" t="s">
        <v>29</v>
      </c>
      <c r="GI6" s="820" t="s">
        <v>30</v>
      </c>
      <c r="GJ6" s="820" t="s">
        <v>31</v>
      </c>
      <c r="GK6" s="855" t="s">
        <v>32</v>
      </c>
      <c r="GL6" s="823"/>
      <c r="GM6" s="823"/>
      <c r="GN6" s="825" t="s">
        <v>33</v>
      </c>
      <c r="GO6" s="22"/>
      <c r="GP6" s="882" t="s">
        <v>34</v>
      </c>
      <c r="GQ6" s="884" t="s">
        <v>38</v>
      </c>
      <c r="GR6" s="887" t="s">
        <v>36</v>
      </c>
      <c r="GS6" s="889" t="s">
        <v>37</v>
      </c>
      <c r="GT6" s="837" t="s">
        <v>28</v>
      </c>
      <c r="GU6" s="820" t="s">
        <v>29</v>
      </c>
      <c r="GV6" s="820" t="s">
        <v>30</v>
      </c>
      <c r="GW6" s="820" t="s">
        <v>31</v>
      </c>
      <c r="GX6" s="823" t="s">
        <v>32</v>
      </c>
      <c r="GY6" s="823"/>
      <c r="GZ6" s="824"/>
      <c r="HA6" s="862" t="s">
        <v>34</v>
      </c>
      <c r="HB6" s="825" t="s">
        <v>33</v>
      </c>
      <c r="HC6" s="22"/>
      <c r="HD6" s="827" t="s">
        <v>28</v>
      </c>
      <c r="HE6" s="820" t="s">
        <v>29</v>
      </c>
      <c r="HF6" s="820" t="s">
        <v>30</v>
      </c>
      <c r="HG6" s="820" t="s">
        <v>31</v>
      </c>
      <c r="HH6" s="823" t="s">
        <v>32</v>
      </c>
      <c r="HI6" s="823"/>
      <c r="HJ6" s="824"/>
      <c r="HK6" s="862" t="s">
        <v>34</v>
      </c>
      <c r="HL6" s="825" t="s">
        <v>33</v>
      </c>
      <c r="HM6" s="22"/>
      <c r="HN6" s="827" t="s">
        <v>28</v>
      </c>
      <c r="HO6" s="820" t="s">
        <v>29</v>
      </c>
      <c r="HP6" s="820" t="s">
        <v>30</v>
      </c>
      <c r="HQ6" s="820" t="s">
        <v>31</v>
      </c>
      <c r="HR6" s="823" t="s">
        <v>32</v>
      </c>
      <c r="HS6" s="823"/>
      <c r="HT6" s="824"/>
      <c r="HU6" s="862" t="s">
        <v>34</v>
      </c>
      <c r="HV6" s="825" t="s">
        <v>33</v>
      </c>
      <c r="HW6" s="22"/>
      <c r="HX6" s="827" t="s">
        <v>28</v>
      </c>
      <c r="HY6" s="820" t="s">
        <v>29</v>
      </c>
      <c r="HZ6" s="820" t="s">
        <v>30</v>
      </c>
      <c r="IA6" s="820" t="s">
        <v>31</v>
      </c>
      <c r="IB6" s="823" t="s">
        <v>32</v>
      </c>
      <c r="IC6" s="823"/>
      <c r="ID6" s="824"/>
      <c r="IE6" s="862" t="s">
        <v>34</v>
      </c>
      <c r="IF6" s="825" t="s">
        <v>33</v>
      </c>
      <c r="IG6" s="23"/>
      <c r="IH6" s="827" t="s">
        <v>28</v>
      </c>
      <c r="II6" s="820" t="s">
        <v>29</v>
      </c>
      <c r="IJ6" s="820" t="s">
        <v>30</v>
      </c>
      <c r="IK6" s="820" t="s">
        <v>31</v>
      </c>
      <c r="IL6" s="855" t="s">
        <v>32</v>
      </c>
      <c r="IM6" s="823"/>
      <c r="IN6" s="823"/>
      <c r="IO6" s="891"/>
      <c r="IP6" s="825" t="s">
        <v>33</v>
      </c>
      <c r="IQ6" s="22"/>
      <c r="IR6" s="898" t="s">
        <v>34</v>
      </c>
      <c r="IS6" s="900" t="s">
        <v>35</v>
      </c>
      <c r="IT6" s="902" t="s">
        <v>36</v>
      </c>
      <c r="IU6" s="904" t="s">
        <v>37</v>
      </c>
      <c r="IV6" s="3"/>
      <c r="IW6" s="906" t="s">
        <v>34</v>
      </c>
      <c r="IX6" s="908" t="s">
        <v>90</v>
      </c>
      <c r="IY6" s="892" t="s">
        <v>36</v>
      </c>
      <c r="IZ6" s="894" t="s">
        <v>37</v>
      </c>
      <c r="JB6" s="896" t="s">
        <v>27</v>
      </c>
      <c r="JC6" s="820" t="s">
        <v>28</v>
      </c>
      <c r="JD6" s="820" t="s">
        <v>29</v>
      </c>
      <c r="JE6" s="820" t="s">
        <v>30</v>
      </c>
      <c r="JF6" s="820" t="s">
        <v>31</v>
      </c>
      <c r="JG6" s="823" t="s">
        <v>32</v>
      </c>
      <c r="JH6" s="823"/>
      <c r="JI6" s="824"/>
      <c r="JJ6" s="862" t="s">
        <v>34</v>
      </c>
      <c r="JK6" s="825" t="s">
        <v>33</v>
      </c>
      <c r="JL6" s="22"/>
      <c r="JM6" s="827" t="s">
        <v>28</v>
      </c>
      <c r="JN6" s="820" t="s">
        <v>29</v>
      </c>
      <c r="JO6" s="820" t="s">
        <v>30</v>
      </c>
      <c r="JP6" s="820" t="s">
        <v>31</v>
      </c>
      <c r="JQ6" s="823" t="s">
        <v>32</v>
      </c>
      <c r="JR6" s="823"/>
      <c r="JS6" s="824"/>
      <c r="JT6" s="862" t="s">
        <v>34</v>
      </c>
      <c r="JU6" s="825" t="s">
        <v>33</v>
      </c>
      <c r="JV6" s="22"/>
      <c r="JW6" s="827" t="s">
        <v>28</v>
      </c>
      <c r="JX6" s="820" t="s">
        <v>29</v>
      </c>
      <c r="JY6" s="820" t="s">
        <v>30</v>
      </c>
      <c r="JZ6" s="820" t="s">
        <v>31</v>
      </c>
      <c r="KA6" s="823" t="s">
        <v>32</v>
      </c>
      <c r="KB6" s="823"/>
      <c r="KC6" s="824"/>
      <c r="KD6" s="862" t="s">
        <v>34</v>
      </c>
      <c r="KE6" s="825" t="s">
        <v>33</v>
      </c>
      <c r="KF6" s="22"/>
      <c r="KG6" s="827" t="s">
        <v>28</v>
      </c>
      <c r="KH6" s="820" t="s">
        <v>29</v>
      </c>
      <c r="KI6" s="820" t="s">
        <v>30</v>
      </c>
      <c r="KJ6" s="820" t="s">
        <v>31</v>
      </c>
      <c r="KK6" s="823" t="s">
        <v>32</v>
      </c>
      <c r="KL6" s="823"/>
      <c r="KM6" s="824"/>
      <c r="KN6" s="862" t="s">
        <v>34</v>
      </c>
      <c r="KO6" s="825" t="s">
        <v>33</v>
      </c>
      <c r="KP6" s="23"/>
      <c r="KQ6" s="827" t="s">
        <v>28</v>
      </c>
      <c r="KR6" s="820" t="s">
        <v>29</v>
      </c>
      <c r="KS6" s="820" t="s">
        <v>30</v>
      </c>
      <c r="KT6" s="820" t="s">
        <v>31</v>
      </c>
      <c r="KU6" s="855" t="s">
        <v>32</v>
      </c>
      <c r="KV6" s="823"/>
      <c r="KW6" s="823"/>
      <c r="KX6" s="891"/>
      <c r="KY6" s="825" t="s">
        <v>33</v>
      </c>
      <c r="KZ6" s="22"/>
      <c r="LA6" s="856" t="s">
        <v>34</v>
      </c>
      <c r="LB6" s="858" t="s">
        <v>39</v>
      </c>
      <c r="LC6" s="851" t="s">
        <v>36</v>
      </c>
      <c r="LD6" s="910" t="s">
        <v>40</v>
      </c>
      <c r="LE6" s="911" t="s">
        <v>37</v>
      </c>
      <c r="LF6" s="8"/>
      <c r="LG6" s="913" t="s">
        <v>27</v>
      </c>
      <c r="LH6" s="820" t="s">
        <v>28</v>
      </c>
      <c r="LI6" s="820" t="s">
        <v>29</v>
      </c>
      <c r="LJ6" s="820" t="s">
        <v>30</v>
      </c>
      <c r="LK6" s="820" t="s">
        <v>31</v>
      </c>
      <c r="LL6" s="823" t="s">
        <v>32</v>
      </c>
      <c r="LM6" s="823"/>
      <c r="LN6" s="824"/>
      <c r="LO6" s="862" t="s">
        <v>34</v>
      </c>
      <c r="LP6" s="825" t="s">
        <v>33</v>
      </c>
      <c r="LQ6" s="22"/>
      <c r="LR6" s="827" t="s">
        <v>28</v>
      </c>
      <c r="LS6" s="820" t="s">
        <v>29</v>
      </c>
      <c r="LT6" s="820" t="s">
        <v>30</v>
      </c>
      <c r="LU6" s="820" t="s">
        <v>31</v>
      </c>
      <c r="LV6" s="823" t="s">
        <v>32</v>
      </c>
      <c r="LW6" s="823"/>
      <c r="LX6" s="824"/>
      <c r="LY6" s="862" t="s">
        <v>34</v>
      </c>
      <c r="LZ6" s="825" t="s">
        <v>33</v>
      </c>
      <c r="MA6" s="22"/>
      <c r="MB6" s="827" t="s">
        <v>28</v>
      </c>
      <c r="MC6" s="820" t="s">
        <v>29</v>
      </c>
      <c r="MD6" s="820" t="s">
        <v>30</v>
      </c>
      <c r="ME6" s="820" t="s">
        <v>31</v>
      </c>
      <c r="MF6" s="823" t="s">
        <v>32</v>
      </c>
      <c r="MG6" s="823"/>
      <c r="MH6" s="824"/>
      <c r="MI6" s="862" t="s">
        <v>34</v>
      </c>
      <c r="MJ6" s="825" t="s">
        <v>33</v>
      </c>
      <c r="MK6" s="22"/>
      <c r="ML6" s="827" t="s">
        <v>28</v>
      </c>
      <c r="MM6" s="820" t="s">
        <v>29</v>
      </c>
      <c r="MN6" s="820" t="s">
        <v>30</v>
      </c>
      <c r="MO6" s="820" t="s">
        <v>31</v>
      </c>
      <c r="MP6" s="823" t="s">
        <v>32</v>
      </c>
      <c r="MQ6" s="823"/>
      <c r="MR6" s="824"/>
      <c r="MS6" s="862" t="s">
        <v>34</v>
      </c>
      <c r="MT6" s="825" t="s">
        <v>33</v>
      </c>
      <c r="MU6" s="23"/>
      <c r="MV6" s="827" t="s">
        <v>28</v>
      </c>
      <c r="MW6" s="820" t="s">
        <v>29</v>
      </c>
      <c r="MX6" s="820" t="s">
        <v>30</v>
      </c>
      <c r="MY6" s="820" t="s">
        <v>31</v>
      </c>
      <c r="MZ6" s="855" t="s">
        <v>32</v>
      </c>
      <c r="NA6" s="823"/>
      <c r="NB6" s="823"/>
      <c r="NC6" s="891"/>
      <c r="ND6" s="825" t="s">
        <v>33</v>
      </c>
      <c r="NE6" s="22"/>
      <c r="NF6" s="864" t="s">
        <v>34</v>
      </c>
      <c r="NG6" s="866" t="s">
        <v>38</v>
      </c>
      <c r="NH6" s="868" t="s">
        <v>36</v>
      </c>
      <c r="NI6" s="915" t="s">
        <v>40</v>
      </c>
      <c r="NJ6" s="916" t="s">
        <v>37</v>
      </c>
      <c r="NK6" s="10"/>
      <c r="NL6" s="913" t="s">
        <v>27</v>
      </c>
      <c r="NM6" s="820" t="s">
        <v>28</v>
      </c>
      <c r="NN6" s="820" t="s">
        <v>29</v>
      </c>
      <c r="NO6" s="820" t="s">
        <v>30</v>
      </c>
      <c r="NP6" s="820" t="s">
        <v>31</v>
      </c>
      <c r="NQ6" s="823" t="s">
        <v>32</v>
      </c>
      <c r="NR6" s="823"/>
      <c r="NS6" s="824"/>
      <c r="NT6" s="862" t="s">
        <v>34</v>
      </c>
      <c r="NU6" s="825" t="s">
        <v>33</v>
      </c>
      <c r="NV6" s="22"/>
      <c r="NW6" s="827" t="s">
        <v>28</v>
      </c>
      <c r="NX6" s="820" t="s">
        <v>29</v>
      </c>
      <c r="NY6" s="820" t="s">
        <v>30</v>
      </c>
      <c r="NZ6" s="820" t="s">
        <v>31</v>
      </c>
      <c r="OA6" s="823" t="s">
        <v>32</v>
      </c>
      <c r="OB6" s="823"/>
      <c r="OC6" s="824"/>
      <c r="OD6" s="862" t="s">
        <v>34</v>
      </c>
      <c r="OE6" s="825" t="s">
        <v>33</v>
      </c>
      <c r="OF6" s="22"/>
      <c r="OG6" s="827" t="s">
        <v>28</v>
      </c>
      <c r="OH6" s="820" t="s">
        <v>29</v>
      </c>
      <c r="OI6" s="820" t="s">
        <v>30</v>
      </c>
      <c r="OJ6" s="820" t="s">
        <v>31</v>
      </c>
      <c r="OK6" s="823" t="s">
        <v>32</v>
      </c>
      <c r="OL6" s="823"/>
      <c r="OM6" s="824"/>
      <c r="ON6" s="862" t="s">
        <v>34</v>
      </c>
      <c r="OO6" s="825" t="s">
        <v>33</v>
      </c>
      <c r="OP6" s="22"/>
      <c r="OQ6" s="827" t="s">
        <v>28</v>
      </c>
      <c r="OR6" s="820" t="s">
        <v>29</v>
      </c>
      <c r="OS6" s="820" t="s">
        <v>30</v>
      </c>
      <c r="OT6" s="820" t="s">
        <v>31</v>
      </c>
      <c r="OU6" s="823" t="s">
        <v>32</v>
      </c>
      <c r="OV6" s="823"/>
      <c r="OW6" s="824"/>
      <c r="OX6" s="862" t="s">
        <v>34</v>
      </c>
      <c r="OY6" s="825" t="s">
        <v>33</v>
      </c>
      <c r="OZ6" s="23"/>
      <c r="PA6" s="827" t="s">
        <v>28</v>
      </c>
      <c r="PB6" s="820" t="s">
        <v>29</v>
      </c>
      <c r="PC6" s="820" t="s">
        <v>30</v>
      </c>
      <c r="PD6" s="820" t="s">
        <v>31</v>
      </c>
      <c r="PE6" s="855" t="s">
        <v>32</v>
      </c>
      <c r="PF6" s="823"/>
      <c r="PG6" s="823"/>
      <c r="PH6" s="891"/>
      <c r="PI6" s="825" t="s">
        <v>33</v>
      </c>
      <c r="PJ6" s="22"/>
      <c r="PK6" s="874" t="s">
        <v>34</v>
      </c>
      <c r="PL6" s="876" t="s">
        <v>38</v>
      </c>
      <c r="PM6" s="878" t="s">
        <v>36</v>
      </c>
      <c r="PN6" s="918" t="s">
        <v>40</v>
      </c>
      <c r="PO6" s="919" t="s">
        <v>37</v>
      </c>
      <c r="PP6" s="10"/>
      <c r="PQ6" s="913" t="s">
        <v>27</v>
      </c>
      <c r="PR6" s="820" t="s">
        <v>28</v>
      </c>
      <c r="PS6" s="820" t="s">
        <v>29</v>
      </c>
      <c r="PT6" s="820" t="s">
        <v>30</v>
      </c>
      <c r="PU6" s="820" t="s">
        <v>31</v>
      </c>
      <c r="PV6" s="823" t="s">
        <v>32</v>
      </c>
      <c r="PW6" s="823"/>
      <c r="PX6" s="824"/>
      <c r="PY6" s="862" t="s">
        <v>34</v>
      </c>
      <c r="PZ6" s="825" t="s">
        <v>33</v>
      </c>
      <c r="QA6" s="22"/>
      <c r="QB6" s="827" t="s">
        <v>28</v>
      </c>
      <c r="QC6" s="820" t="s">
        <v>29</v>
      </c>
      <c r="QD6" s="820" t="s">
        <v>30</v>
      </c>
      <c r="QE6" s="820" t="s">
        <v>31</v>
      </c>
      <c r="QF6" s="823" t="s">
        <v>32</v>
      </c>
      <c r="QG6" s="823"/>
      <c r="QH6" s="824"/>
      <c r="QI6" s="862" t="s">
        <v>34</v>
      </c>
      <c r="QJ6" s="825" t="s">
        <v>33</v>
      </c>
      <c r="QK6" s="22"/>
      <c r="QL6" s="827" t="s">
        <v>28</v>
      </c>
      <c r="QM6" s="820" t="s">
        <v>29</v>
      </c>
      <c r="QN6" s="820" t="s">
        <v>30</v>
      </c>
      <c r="QO6" s="820" t="s">
        <v>31</v>
      </c>
      <c r="QP6" s="823" t="s">
        <v>32</v>
      </c>
      <c r="QQ6" s="823"/>
      <c r="QR6" s="824"/>
      <c r="QS6" s="862" t="s">
        <v>34</v>
      </c>
      <c r="QT6" s="825" t="s">
        <v>33</v>
      </c>
      <c r="QU6" s="22"/>
      <c r="QV6" s="827" t="s">
        <v>28</v>
      </c>
      <c r="QW6" s="820" t="s">
        <v>29</v>
      </c>
      <c r="QX6" s="820" t="s">
        <v>30</v>
      </c>
      <c r="QY6" s="820" t="s">
        <v>31</v>
      </c>
      <c r="QZ6" s="823" t="s">
        <v>32</v>
      </c>
      <c r="RA6" s="823"/>
      <c r="RB6" s="824"/>
      <c r="RC6" s="862" t="s">
        <v>34</v>
      </c>
      <c r="RD6" s="825" t="s">
        <v>33</v>
      </c>
      <c r="RE6" s="23"/>
      <c r="RF6" s="827" t="s">
        <v>28</v>
      </c>
      <c r="RG6" s="820" t="s">
        <v>29</v>
      </c>
      <c r="RH6" s="820" t="s">
        <v>30</v>
      </c>
      <c r="RI6" s="820" t="s">
        <v>31</v>
      </c>
      <c r="RJ6" s="855" t="s">
        <v>32</v>
      </c>
      <c r="RK6" s="823"/>
      <c r="RL6" s="823"/>
      <c r="RM6" s="891"/>
      <c r="RN6" s="825" t="s">
        <v>33</v>
      </c>
      <c r="RO6" s="22"/>
      <c r="RP6" s="921" t="s">
        <v>34</v>
      </c>
      <c r="RQ6" s="884" t="s">
        <v>38</v>
      </c>
      <c r="RR6" s="887" t="s">
        <v>36</v>
      </c>
      <c r="RS6" s="923" t="s">
        <v>40</v>
      </c>
      <c r="RT6" s="924" t="s">
        <v>37</v>
      </c>
      <c r="RV6" s="926" t="s">
        <v>34</v>
      </c>
      <c r="RW6" s="928" t="s">
        <v>90</v>
      </c>
      <c r="RX6" s="930" t="s">
        <v>36</v>
      </c>
      <c r="RY6" s="932" t="s">
        <v>37</v>
      </c>
      <c r="SA6" s="934" t="s">
        <v>27</v>
      </c>
      <c r="SB6" s="837" t="s">
        <v>28</v>
      </c>
      <c r="SC6" s="820" t="s">
        <v>29</v>
      </c>
      <c r="SD6" s="820" t="s">
        <v>30</v>
      </c>
      <c r="SE6" s="820" t="s">
        <v>31</v>
      </c>
      <c r="SF6" s="823" t="s">
        <v>32</v>
      </c>
      <c r="SG6" s="823"/>
      <c r="SH6" s="824"/>
      <c r="SI6" s="862" t="s">
        <v>34</v>
      </c>
      <c r="SJ6" s="825" t="s">
        <v>33</v>
      </c>
      <c r="SK6" s="29"/>
      <c r="SL6" s="820" t="s">
        <v>28</v>
      </c>
      <c r="SM6" s="820" t="s">
        <v>29</v>
      </c>
      <c r="SN6" s="820" t="s">
        <v>30</v>
      </c>
      <c r="SO6" s="820" t="s">
        <v>31</v>
      </c>
      <c r="SP6" s="823" t="s">
        <v>32</v>
      </c>
      <c r="SQ6" s="823"/>
      <c r="SR6" s="824"/>
      <c r="SS6" s="862" t="s">
        <v>34</v>
      </c>
      <c r="ST6" s="825" t="s">
        <v>33</v>
      </c>
      <c r="SU6" s="29"/>
      <c r="SV6" s="820" t="s">
        <v>28</v>
      </c>
      <c r="SW6" s="820" t="s">
        <v>29</v>
      </c>
      <c r="SX6" s="820" t="s">
        <v>30</v>
      </c>
      <c r="SY6" s="820" t="s">
        <v>31</v>
      </c>
      <c r="SZ6" s="823" t="s">
        <v>32</v>
      </c>
      <c r="TA6" s="823"/>
      <c r="TB6" s="824"/>
      <c r="TC6" s="862" t="s">
        <v>34</v>
      </c>
      <c r="TD6" s="825" t="s">
        <v>33</v>
      </c>
      <c r="TE6" s="29"/>
      <c r="TF6" s="820" t="s">
        <v>28</v>
      </c>
      <c r="TG6" s="820" t="s">
        <v>29</v>
      </c>
      <c r="TH6" s="820" t="s">
        <v>30</v>
      </c>
      <c r="TI6" s="820" t="s">
        <v>31</v>
      </c>
      <c r="TJ6" s="823" t="s">
        <v>32</v>
      </c>
      <c r="TK6" s="823"/>
      <c r="TL6" s="824"/>
      <c r="TM6" s="862" t="s">
        <v>34</v>
      </c>
      <c r="TN6" s="825" t="s">
        <v>33</v>
      </c>
      <c r="TO6" s="29"/>
      <c r="TP6" s="820" t="s">
        <v>28</v>
      </c>
      <c r="TQ6" s="820" t="s">
        <v>29</v>
      </c>
      <c r="TR6" s="820" t="s">
        <v>30</v>
      </c>
      <c r="TS6" s="820" t="s">
        <v>31</v>
      </c>
      <c r="TT6" s="855" t="s">
        <v>32</v>
      </c>
      <c r="TU6" s="823"/>
      <c r="TV6" s="823"/>
      <c r="TW6" s="891"/>
      <c r="TX6" s="825" t="s">
        <v>33</v>
      </c>
      <c r="TY6" s="27"/>
      <c r="TZ6" s="940" t="s">
        <v>33</v>
      </c>
      <c r="UA6" s="942" t="s">
        <v>38</v>
      </c>
      <c r="UB6" s="944" t="s">
        <v>36</v>
      </c>
      <c r="UC6" s="936" t="s">
        <v>37</v>
      </c>
      <c r="UE6" s="938" t="s">
        <v>27</v>
      </c>
      <c r="UF6" s="837" t="s">
        <v>28</v>
      </c>
      <c r="UG6" s="820" t="s">
        <v>29</v>
      </c>
      <c r="UH6" s="820" t="s">
        <v>30</v>
      </c>
      <c r="UI6" s="820" t="s">
        <v>31</v>
      </c>
      <c r="UJ6" s="823" t="s">
        <v>32</v>
      </c>
      <c r="UK6" s="823"/>
      <c r="UL6" s="824"/>
      <c r="UM6" s="862" t="s">
        <v>34</v>
      </c>
      <c r="UN6" s="825" t="s">
        <v>33</v>
      </c>
      <c r="UO6" s="29"/>
      <c r="UP6" s="820" t="s">
        <v>28</v>
      </c>
      <c r="UQ6" s="820" t="s">
        <v>29</v>
      </c>
      <c r="UR6" s="820" t="s">
        <v>30</v>
      </c>
      <c r="US6" s="820" t="s">
        <v>31</v>
      </c>
      <c r="UT6" s="823" t="s">
        <v>32</v>
      </c>
      <c r="UU6" s="823"/>
      <c r="UV6" s="824"/>
      <c r="UW6" s="862" t="s">
        <v>34</v>
      </c>
      <c r="UX6" s="825" t="s">
        <v>33</v>
      </c>
      <c r="UY6" s="29"/>
      <c r="UZ6" s="820" t="s">
        <v>28</v>
      </c>
      <c r="VA6" s="820" t="s">
        <v>29</v>
      </c>
      <c r="VB6" s="820" t="s">
        <v>30</v>
      </c>
      <c r="VC6" s="820" t="s">
        <v>31</v>
      </c>
      <c r="VD6" s="823" t="s">
        <v>32</v>
      </c>
      <c r="VE6" s="823"/>
      <c r="VF6" s="824"/>
      <c r="VG6" s="862" t="s">
        <v>34</v>
      </c>
      <c r="VH6" s="825" t="s">
        <v>33</v>
      </c>
      <c r="VI6" s="29"/>
      <c r="VJ6" s="820" t="s">
        <v>28</v>
      </c>
      <c r="VK6" s="820" t="s">
        <v>29</v>
      </c>
      <c r="VL6" s="820" t="s">
        <v>30</v>
      </c>
      <c r="VM6" s="820" t="s">
        <v>31</v>
      </c>
      <c r="VN6" s="823" t="s">
        <v>32</v>
      </c>
      <c r="VO6" s="823"/>
      <c r="VP6" s="824"/>
      <c r="VQ6" s="862" t="s">
        <v>34</v>
      </c>
      <c r="VR6" s="825" t="s">
        <v>33</v>
      </c>
      <c r="VS6" s="29"/>
      <c r="VT6" s="820" t="s">
        <v>28</v>
      </c>
      <c r="VU6" s="820" t="s">
        <v>29</v>
      </c>
      <c r="VV6" s="820" t="s">
        <v>30</v>
      </c>
      <c r="VW6" s="820" t="s">
        <v>31</v>
      </c>
      <c r="VX6" s="855" t="s">
        <v>32</v>
      </c>
      <c r="VY6" s="823"/>
      <c r="VZ6" s="823"/>
      <c r="WA6" s="891"/>
      <c r="WB6" s="825" t="s">
        <v>33</v>
      </c>
      <c r="WC6" s="29"/>
      <c r="WD6" s="946" t="s">
        <v>33</v>
      </c>
      <c r="WE6" s="866" t="s">
        <v>38</v>
      </c>
      <c r="WF6" s="868" t="s">
        <v>36</v>
      </c>
      <c r="WG6" s="870" t="s">
        <v>37</v>
      </c>
      <c r="WH6" s="24"/>
      <c r="WI6" s="938" t="s">
        <v>27</v>
      </c>
      <c r="WJ6" s="837" t="s">
        <v>28</v>
      </c>
      <c r="WK6" s="820" t="s">
        <v>29</v>
      </c>
      <c r="WL6" s="820" t="s">
        <v>30</v>
      </c>
      <c r="WM6" s="820" t="s">
        <v>31</v>
      </c>
      <c r="WN6" s="823" t="s">
        <v>32</v>
      </c>
      <c r="WO6" s="823"/>
      <c r="WP6" s="824"/>
      <c r="WQ6" s="862" t="s">
        <v>34</v>
      </c>
      <c r="WR6" s="825" t="s">
        <v>33</v>
      </c>
      <c r="WS6" s="29"/>
      <c r="WT6" s="820" t="s">
        <v>28</v>
      </c>
      <c r="WU6" s="820" t="s">
        <v>29</v>
      </c>
      <c r="WV6" s="820" t="s">
        <v>30</v>
      </c>
      <c r="WW6" s="820" t="s">
        <v>31</v>
      </c>
      <c r="WX6" s="823" t="s">
        <v>32</v>
      </c>
      <c r="WY6" s="823"/>
      <c r="WZ6" s="824"/>
      <c r="XA6" s="862" t="s">
        <v>34</v>
      </c>
      <c r="XB6" s="825" t="s">
        <v>33</v>
      </c>
      <c r="XC6" s="29"/>
      <c r="XD6" s="820" t="s">
        <v>28</v>
      </c>
      <c r="XE6" s="820" t="s">
        <v>29</v>
      </c>
      <c r="XF6" s="820" t="s">
        <v>30</v>
      </c>
      <c r="XG6" s="820" t="s">
        <v>31</v>
      </c>
      <c r="XH6" s="823" t="s">
        <v>32</v>
      </c>
      <c r="XI6" s="823"/>
      <c r="XJ6" s="824"/>
      <c r="XK6" s="862" t="s">
        <v>34</v>
      </c>
      <c r="XL6" s="825" t="s">
        <v>33</v>
      </c>
      <c r="XM6" s="29"/>
      <c r="XN6" s="820" t="s">
        <v>28</v>
      </c>
      <c r="XO6" s="820" t="s">
        <v>29</v>
      </c>
      <c r="XP6" s="820" t="s">
        <v>30</v>
      </c>
      <c r="XQ6" s="820" t="s">
        <v>31</v>
      </c>
      <c r="XR6" s="823" t="s">
        <v>32</v>
      </c>
      <c r="XS6" s="823"/>
      <c r="XT6" s="824"/>
      <c r="XU6" s="862" t="s">
        <v>34</v>
      </c>
      <c r="XV6" s="825" t="s">
        <v>33</v>
      </c>
      <c r="XW6" s="29"/>
      <c r="XX6" s="820" t="s">
        <v>28</v>
      </c>
      <c r="XY6" s="820" t="s">
        <v>29</v>
      </c>
      <c r="XZ6" s="820" t="s">
        <v>30</v>
      </c>
      <c r="YA6" s="820" t="s">
        <v>31</v>
      </c>
      <c r="YB6" s="855" t="s">
        <v>32</v>
      </c>
      <c r="YC6" s="823"/>
      <c r="YD6" s="823"/>
      <c r="YE6" s="891"/>
      <c r="YF6" s="825" t="s">
        <v>33</v>
      </c>
      <c r="YG6" s="29"/>
      <c r="YH6" s="950" t="s">
        <v>33</v>
      </c>
      <c r="YI6" s="952" t="s">
        <v>38</v>
      </c>
      <c r="YJ6" s="954" t="s">
        <v>36</v>
      </c>
      <c r="YK6" s="956" t="s">
        <v>37</v>
      </c>
      <c r="YL6" s="30"/>
      <c r="YM6" s="872" t="s">
        <v>28</v>
      </c>
      <c r="YN6" s="820" t="s">
        <v>29</v>
      </c>
      <c r="YO6" s="820" t="s">
        <v>30</v>
      </c>
      <c r="YP6" s="820" t="s">
        <v>31</v>
      </c>
      <c r="YQ6" s="823" t="s">
        <v>32</v>
      </c>
      <c r="YR6" s="823"/>
      <c r="YS6" s="824"/>
      <c r="YT6" s="862" t="s">
        <v>34</v>
      </c>
      <c r="YU6" s="825" t="s">
        <v>33</v>
      </c>
      <c r="YV6" s="29"/>
      <c r="YW6" s="820" t="s">
        <v>28</v>
      </c>
      <c r="YX6" s="820" t="s">
        <v>29</v>
      </c>
      <c r="YY6" s="820" t="s">
        <v>30</v>
      </c>
      <c r="YZ6" s="820" t="s">
        <v>31</v>
      </c>
      <c r="ZA6" s="823" t="s">
        <v>32</v>
      </c>
      <c r="ZB6" s="823"/>
      <c r="ZC6" s="824"/>
      <c r="ZD6" s="862" t="s">
        <v>34</v>
      </c>
      <c r="ZE6" s="825" t="s">
        <v>33</v>
      </c>
      <c r="ZF6" s="29"/>
      <c r="ZG6" s="820" t="s">
        <v>28</v>
      </c>
      <c r="ZH6" s="820" t="s">
        <v>29</v>
      </c>
      <c r="ZI6" s="820" t="s">
        <v>30</v>
      </c>
      <c r="ZJ6" s="820" t="s">
        <v>31</v>
      </c>
      <c r="ZK6" s="823" t="s">
        <v>32</v>
      </c>
      <c r="ZL6" s="823"/>
      <c r="ZM6" s="824"/>
      <c r="ZN6" s="862" t="s">
        <v>34</v>
      </c>
      <c r="ZO6" s="825" t="s">
        <v>33</v>
      </c>
      <c r="ZP6" s="29"/>
      <c r="ZQ6" s="820" t="s">
        <v>28</v>
      </c>
      <c r="ZR6" s="820" t="s">
        <v>29</v>
      </c>
      <c r="ZS6" s="820" t="s">
        <v>30</v>
      </c>
      <c r="ZT6" s="820" t="s">
        <v>31</v>
      </c>
      <c r="ZU6" s="823" t="s">
        <v>32</v>
      </c>
      <c r="ZV6" s="823"/>
      <c r="ZW6" s="824"/>
      <c r="ZX6" s="862" t="s">
        <v>34</v>
      </c>
      <c r="ZY6" s="825" t="s">
        <v>33</v>
      </c>
      <c r="ZZ6" s="29"/>
      <c r="AAA6" s="820" t="s">
        <v>28</v>
      </c>
      <c r="AAB6" s="820" t="s">
        <v>29</v>
      </c>
      <c r="AAC6" s="820" t="s">
        <v>30</v>
      </c>
      <c r="AAD6" s="820" t="s">
        <v>31</v>
      </c>
      <c r="AAE6" s="855" t="s">
        <v>32</v>
      </c>
      <c r="AAF6" s="823"/>
      <c r="AAG6" s="823"/>
      <c r="AAH6" s="891"/>
      <c r="AAI6" s="825" t="s">
        <v>33</v>
      </c>
      <c r="AAJ6" s="29"/>
      <c r="AAK6" s="958" t="s">
        <v>38</v>
      </c>
      <c r="AAL6" s="960" t="s">
        <v>36</v>
      </c>
      <c r="AAM6" s="962" t="s">
        <v>37</v>
      </c>
      <c r="AAN6" s="964" t="s">
        <v>27</v>
      </c>
      <c r="AAO6" s="837" t="s">
        <v>28</v>
      </c>
      <c r="AAP6" s="820" t="s">
        <v>29</v>
      </c>
      <c r="AAQ6" s="820" t="s">
        <v>30</v>
      </c>
      <c r="AAR6" s="820" t="s">
        <v>31</v>
      </c>
      <c r="AAS6" s="823" t="s">
        <v>32</v>
      </c>
      <c r="AAT6" s="823"/>
      <c r="AAU6" s="824"/>
      <c r="AAV6" s="862" t="s">
        <v>34</v>
      </c>
      <c r="AAW6" s="825" t="s">
        <v>33</v>
      </c>
      <c r="AAX6" s="31"/>
      <c r="AAY6" s="29"/>
      <c r="AAZ6" s="820" t="s">
        <v>28</v>
      </c>
      <c r="ABA6" s="820" t="s">
        <v>29</v>
      </c>
      <c r="ABB6" s="820" t="s">
        <v>30</v>
      </c>
      <c r="ABC6" s="820" t="s">
        <v>31</v>
      </c>
      <c r="ABD6" s="823" t="s">
        <v>32</v>
      </c>
      <c r="ABE6" s="823"/>
      <c r="ABF6" s="824"/>
      <c r="ABG6" s="862" t="s">
        <v>34</v>
      </c>
      <c r="ABH6" s="825" t="s">
        <v>33</v>
      </c>
      <c r="ABI6" s="29"/>
      <c r="ABJ6" s="820" t="s">
        <v>28</v>
      </c>
      <c r="ABK6" s="820" t="s">
        <v>29</v>
      </c>
      <c r="ABL6" s="820" t="s">
        <v>30</v>
      </c>
      <c r="ABM6" s="820" t="s">
        <v>31</v>
      </c>
      <c r="ABN6" s="823" t="s">
        <v>32</v>
      </c>
      <c r="ABO6" s="823"/>
      <c r="ABP6" s="824"/>
      <c r="ABQ6" s="862" t="s">
        <v>34</v>
      </c>
      <c r="ABR6" s="825" t="s">
        <v>33</v>
      </c>
      <c r="ABS6" s="29"/>
      <c r="ABT6" s="820" t="s">
        <v>28</v>
      </c>
      <c r="ABU6" s="820" t="s">
        <v>29</v>
      </c>
      <c r="ABV6" s="820" t="s">
        <v>30</v>
      </c>
      <c r="ABW6" s="820" t="s">
        <v>31</v>
      </c>
      <c r="ABX6" s="823" t="s">
        <v>32</v>
      </c>
      <c r="ABY6" s="823"/>
      <c r="ABZ6" s="824"/>
      <c r="ACA6" s="862" t="s">
        <v>34</v>
      </c>
      <c r="ACB6" s="825" t="s">
        <v>33</v>
      </c>
      <c r="ACC6" s="29"/>
      <c r="ACD6" s="820" t="s">
        <v>28</v>
      </c>
      <c r="ACE6" s="820" t="s">
        <v>29</v>
      </c>
      <c r="ACF6" s="820" t="s">
        <v>30</v>
      </c>
      <c r="ACG6" s="820" t="s">
        <v>31</v>
      </c>
      <c r="ACH6" s="855" t="s">
        <v>32</v>
      </c>
      <c r="ACI6" s="823"/>
      <c r="ACJ6" s="823"/>
      <c r="ACK6" s="891"/>
      <c r="ACL6" s="825" t="s">
        <v>33</v>
      </c>
      <c r="ACM6" s="29"/>
      <c r="ACN6" s="971" t="s">
        <v>33</v>
      </c>
      <c r="ACO6" s="32"/>
      <c r="ACP6" s="973" t="s">
        <v>38</v>
      </c>
      <c r="ACQ6" s="975" t="s">
        <v>36</v>
      </c>
      <c r="ACR6" s="977" t="s">
        <v>37</v>
      </c>
      <c r="ACS6" s="979" t="s">
        <v>90</v>
      </c>
      <c r="ACT6" s="966" t="s">
        <v>36</v>
      </c>
      <c r="ACU6" s="932" t="s">
        <v>37</v>
      </c>
      <c r="ACX6" s="5"/>
    </row>
    <row r="7" spans="1:778" s="43" customFormat="1" ht="29.5" thickBot="1" x14ac:dyDescent="0.4">
      <c r="A7" s="835"/>
      <c r="B7" s="836"/>
      <c r="C7" s="838"/>
      <c r="D7" s="821"/>
      <c r="E7" s="821"/>
      <c r="F7" s="822"/>
      <c r="G7" s="33" t="s">
        <v>41</v>
      </c>
      <c r="H7" s="34" t="s">
        <v>42</v>
      </c>
      <c r="I7" s="35" t="s">
        <v>43</v>
      </c>
      <c r="J7" s="826"/>
      <c r="K7" s="36" t="s">
        <v>44</v>
      </c>
      <c r="L7" s="839"/>
      <c r="M7" s="821"/>
      <c r="N7" s="821"/>
      <c r="O7" s="822"/>
      <c r="P7" s="33" t="s">
        <v>41</v>
      </c>
      <c r="Q7" s="34" t="s">
        <v>42</v>
      </c>
      <c r="R7" s="35" t="s">
        <v>43</v>
      </c>
      <c r="S7" s="826"/>
      <c r="T7" s="36" t="s">
        <v>44</v>
      </c>
      <c r="U7" s="828"/>
      <c r="V7" s="829"/>
      <c r="W7" s="829"/>
      <c r="X7" s="849"/>
      <c r="Y7" s="33" t="s">
        <v>41</v>
      </c>
      <c r="Z7" s="34" t="s">
        <v>42</v>
      </c>
      <c r="AA7" s="35" t="s">
        <v>43</v>
      </c>
      <c r="AB7" s="850"/>
      <c r="AC7" s="36" t="s">
        <v>44</v>
      </c>
      <c r="AD7" s="839"/>
      <c r="AE7" s="821"/>
      <c r="AF7" s="821"/>
      <c r="AG7" s="822"/>
      <c r="AH7" s="33" t="s">
        <v>41</v>
      </c>
      <c r="AI7" s="34" t="s">
        <v>42</v>
      </c>
      <c r="AJ7" s="35" t="s">
        <v>43</v>
      </c>
      <c r="AK7" s="826"/>
      <c r="AL7" s="36" t="s">
        <v>44</v>
      </c>
      <c r="AM7" s="839"/>
      <c r="AN7" s="821"/>
      <c r="AO7" s="821"/>
      <c r="AP7" s="822"/>
      <c r="AQ7" s="37" t="s">
        <v>41</v>
      </c>
      <c r="AR7" s="34" t="s">
        <v>42</v>
      </c>
      <c r="AS7" s="35" t="s">
        <v>43</v>
      </c>
      <c r="AT7" s="826"/>
      <c r="AU7" s="36" t="s">
        <v>44</v>
      </c>
      <c r="AV7" s="857"/>
      <c r="AW7" s="859"/>
      <c r="AX7" s="852"/>
      <c r="AY7" s="854"/>
      <c r="AZ7" s="38"/>
      <c r="BA7" s="838"/>
      <c r="BB7" s="821"/>
      <c r="BC7" s="821"/>
      <c r="BD7" s="822"/>
      <c r="BE7" s="33" t="s">
        <v>41</v>
      </c>
      <c r="BF7" s="34" t="s">
        <v>42</v>
      </c>
      <c r="BG7" s="35" t="s">
        <v>43</v>
      </c>
      <c r="BH7" s="826"/>
      <c r="BI7" s="39" t="s">
        <v>44</v>
      </c>
      <c r="BJ7" s="861"/>
      <c r="BK7" s="821"/>
      <c r="BL7" s="821"/>
      <c r="BM7" s="822"/>
      <c r="BN7" s="33" t="s">
        <v>41</v>
      </c>
      <c r="BO7" s="34" t="s">
        <v>42</v>
      </c>
      <c r="BP7" s="35" t="s">
        <v>43</v>
      </c>
      <c r="BQ7" s="826"/>
      <c r="BR7" s="36" t="s">
        <v>44</v>
      </c>
      <c r="BS7" s="839"/>
      <c r="BT7" s="821"/>
      <c r="BU7" s="821"/>
      <c r="BV7" s="822"/>
      <c r="BW7" s="33" t="s">
        <v>41</v>
      </c>
      <c r="BX7" s="34" t="s">
        <v>42</v>
      </c>
      <c r="BY7" s="35" t="s">
        <v>43</v>
      </c>
      <c r="BZ7" s="863"/>
      <c r="CA7" s="36" t="s">
        <v>44</v>
      </c>
      <c r="CB7" s="839"/>
      <c r="CC7" s="821"/>
      <c r="CD7" s="821"/>
      <c r="CE7" s="822"/>
      <c r="CF7" s="33" t="s">
        <v>41</v>
      </c>
      <c r="CG7" s="34" t="s">
        <v>42</v>
      </c>
      <c r="CH7" s="35" t="s">
        <v>43</v>
      </c>
      <c r="CI7" s="826"/>
      <c r="CJ7" s="36" t="s">
        <v>44</v>
      </c>
      <c r="CK7" s="839"/>
      <c r="CL7" s="821"/>
      <c r="CM7" s="821"/>
      <c r="CN7" s="822"/>
      <c r="CO7" s="37" t="s">
        <v>41</v>
      </c>
      <c r="CP7" s="34" t="s">
        <v>42</v>
      </c>
      <c r="CQ7" s="35" t="s">
        <v>43</v>
      </c>
      <c r="CR7" s="826"/>
      <c r="CS7" s="40" t="s">
        <v>44</v>
      </c>
      <c r="CT7" s="865"/>
      <c r="CU7" s="867"/>
      <c r="CV7" s="869"/>
      <c r="CW7" s="871"/>
      <c r="CX7" s="41"/>
      <c r="CY7" s="838"/>
      <c r="CZ7" s="821"/>
      <c r="DA7" s="821"/>
      <c r="DB7" s="822"/>
      <c r="DC7" s="33" t="s">
        <v>41</v>
      </c>
      <c r="DD7" s="34" t="s">
        <v>42</v>
      </c>
      <c r="DE7" s="35" t="s">
        <v>43</v>
      </c>
      <c r="DF7" s="826"/>
      <c r="DG7" s="36" t="s">
        <v>44</v>
      </c>
      <c r="DH7" s="839"/>
      <c r="DI7" s="821"/>
      <c r="DJ7" s="821"/>
      <c r="DK7" s="822"/>
      <c r="DL7" s="33" t="s">
        <v>41</v>
      </c>
      <c r="DM7" s="34" t="s">
        <v>42</v>
      </c>
      <c r="DN7" s="35" t="s">
        <v>43</v>
      </c>
      <c r="DO7" s="826"/>
      <c r="DP7" s="36" t="s">
        <v>44</v>
      </c>
      <c r="DQ7" s="839"/>
      <c r="DR7" s="821"/>
      <c r="DS7" s="821"/>
      <c r="DT7" s="822"/>
      <c r="DU7" s="33" t="s">
        <v>41</v>
      </c>
      <c r="DV7" s="34" t="s">
        <v>42</v>
      </c>
      <c r="DW7" s="35" t="s">
        <v>43</v>
      </c>
      <c r="DX7" s="826"/>
      <c r="DY7" s="36" t="s">
        <v>44</v>
      </c>
      <c r="DZ7" s="839"/>
      <c r="EA7" s="821"/>
      <c r="EB7" s="821"/>
      <c r="EC7" s="822"/>
      <c r="ED7" s="33" t="s">
        <v>41</v>
      </c>
      <c r="EE7" s="34" t="s">
        <v>42</v>
      </c>
      <c r="EF7" s="35" t="s">
        <v>43</v>
      </c>
      <c r="EG7" s="826"/>
      <c r="EH7" s="40" t="s">
        <v>44</v>
      </c>
      <c r="EI7" s="873"/>
      <c r="EJ7" s="821"/>
      <c r="EK7" s="821"/>
      <c r="EL7" s="822"/>
      <c r="EM7" s="37" t="s">
        <v>41</v>
      </c>
      <c r="EN7" s="34" t="s">
        <v>42</v>
      </c>
      <c r="EO7" s="35" t="s">
        <v>43</v>
      </c>
      <c r="EP7" s="826"/>
      <c r="EQ7" s="42" t="s">
        <v>44</v>
      </c>
      <c r="ER7" s="875"/>
      <c r="ES7" s="877"/>
      <c r="ET7" s="879"/>
      <c r="EU7" s="881"/>
      <c r="EW7" s="838"/>
      <c r="EX7" s="821"/>
      <c r="EY7" s="821"/>
      <c r="EZ7" s="822"/>
      <c r="FA7" s="33" t="s">
        <v>41</v>
      </c>
      <c r="FB7" s="34" t="s">
        <v>42</v>
      </c>
      <c r="FC7" s="35" t="s">
        <v>43</v>
      </c>
      <c r="FD7" s="826"/>
      <c r="FE7" s="36" t="s">
        <v>44</v>
      </c>
      <c r="FF7" s="839"/>
      <c r="FG7" s="821"/>
      <c r="FH7" s="821"/>
      <c r="FI7" s="822"/>
      <c r="FJ7" s="33" t="s">
        <v>41</v>
      </c>
      <c r="FK7" s="34" t="s">
        <v>42</v>
      </c>
      <c r="FL7" s="35" t="s">
        <v>43</v>
      </c>
      <c r="FM7" s="826"/>
      <c r="FN7" s="36" t="s">
        <v>44</v>
      </c>
      <c r="FO7" s="839"/>
      <c r="FP7" s="821"/>
      <c r="FQ7" s="821"/>
      <c r="FR7" s="822"/>
      <c r="FS7" s="33" t="s">
        <v>41</v>
      </c>
      <c r="FT7" s="34" t="s">
        <v>42</v>
      </c>
      <c r="FU7" s="35" t="s">
        <v>43</v>
      </c>
      <c r="FV7" s="826"/>
      <c r="FW7" s="36" t="s">
        <v>44</v>
      </c>
      <c r="FX7" s="839"/>
      <c r="FY7" s="821"/>
      <c r="FZ7" s="821"/>
      <c r="GA7" s="822"/>
      <c r="GB7" s="33" t="s">
        <v>41</v>
      </c>
      <c r="GC7" s="34" t="s">
        <v>42</v>
      </c>
      <c r="GD7" s="35" t="s">
        <v>43</v>
      </c>
      <c r="GE7" s="826"/>
      <c r="GF7" s="36" t="s">
        <v>44</v>
      </c>
      <c r="GG7" s="839"/>
      <c r="GH7" s="821"/>
      <c r="GI7" s="821"/>
      <c r="GJ7" s="822"/>
      <c r="GK7" s="37" t="s">
        <v>41</v>
      </c>
      <c r="GL7" s="34" t="s">
        <v>42</v>
      </c>
      <c r="GM7" s="35" t="s">
        <v>43</v>
      </c>
      <c r="GN7" s="826"/>
      <c r="GO7" s="36" t="s">
        <v>44</v>
      </c>
      <c r="GP7" s="883"/>
      <c r="GQ7" s="885"/>
      <c r="GR7" s="888"/>
      <c r="GS7" s="890"/>
      <c r="GT7" s="838"/>
      <c r="GU7" s="821"/>
      <c r="GV7" s="821"/>
      <c r="GW7" s="822"/>
      <c r="GX7" s="33" t="s">
        <v>41</v>
      </c>
      <c r="GY7" s="34" t="s">
        <v>42</v>
      </c>
      <c r="GZ7" s="35" t="s">
        <v>43</v>
      </c>
      <c r="HA7" s="886"/>
      <c r="HB7" s="826"/>
      <c r="HC7" s="36" t="s">
        <v>44</v>
      </c>
      <c r="HD7" s="839"/>
      <c r="HE7" s="821"/>
      <c r="HF7" s="821"/>
      <c r="HG7" s="822"/>
      <c r="HH7" s="33" t="s">
        <v>41</v>
      </c>
      <c r="HI7" s="34" t="s">
        <v>42</v>
      </c>
      <c r="HJ7" s="35" t="s">
        <v>43</v>
      </c>
      <c r="HK7" s="886"/>
      <c r="HL7" s="826"/>
      <c r="HM7" s="36" t="s">
        <v>44</v>
      </c>
      <c r="HN7" s="839"/>
      <c r="HO7" s="821"/>
      <c r="HP7" s="821"/>
      <c r="HQ7" s="822"/>
      <c r="HR7" s="33" t="s">
        <v>41</v>
      </c>
      <c r="HS7" s="34" t="s">
        <v>42</v>
      </c>
      <c r="HT7" s="35" t="s">
        <v>43</v>
      </c>
      <c r="HU7" s="863"/>
      <c r="HV7" s="826"/>
      <c r="HW7" s="36" t="s">
        <v>44</v>
      </c>
      <c r="HX7" s="839"/>
      <c r="HY7" s="821"/>
      <c r="HZ7" s="821"/>
      <c r="IA7" s="822"/>
      <c r="IB7" s="33" t="s">
        <v>41</v>
      </c>
      <c r="IC7" s="34" t="s">
        <v>42</v>
      </c>
      <c r="ID7" s="35" t="s">
        <v>43</v>
      </c>
      <c r="IE7" s="886"/>
      <c r="IF7" s="826"/>
      <c r="IG7" s="36" t="s">
        <v>44</v>
      </c>
      <c r="IH7" s="839"/>
      <c r="II7" s="821"/>
      <c r="IJ7" s="821"/>
      <c r="IK7" s="822"/>
      <c r="IL7" s="37" t="s">
        <v>41</v>
      </c>
      <c r="IM7" s="34" t="s">
        <v>42</v>
      </c>
      <c r="IN7" s="35" t="s">
        <v>43</v>
      </c>
      <c r="IO7" s="44" t="s">
        <v>34</v>
      </c>
      <c r="IP7" s="826"/>
      <c r="IQ7" s="36" t="s">
        <v>44</v>
      </c>
      <c r="IR7" s="899"/>
      <c r="IS7" s="901"/>
      <c r="IT7" s="903"/>
      <c r="IU7" s="905"/>
      <c r="IV7" s="41"/>
      <c r="IW7" s="907"/>
      <c r="IX7" s="909"/>
      <c r="IY7" s="893"/>
      <c r="IZ7" s="895"/>
      <c r="JB7" s="897"/>
      <c r="JC7" s="821"/>
      <c r="JD7" s="821"/>
      <c r="JE7" s="821"/>
      <c r="JF7" s="822"/>
      <c r="JG7" s="33" t="s">
        <v>41</v>
      </c>
      <c r="JH7" s="34" t="s">
        <v>42</v>
      </c>
      <c r="JI7" s="35" t="s">
        <v>43</v>
      </c>
      <c r="JJ7" s="886"/>
      <c r="JK7" s="826"/>
      <c r="JL7" s="36" t="s">
        <v>44</v>
      </c>
      <c r="JM7" s="839"/>
      <c r="JN7" s="821"/>
      <c r="JO7" s="821"/>
      <c r="JP7" s="822"/>
      <c r="JQ7" s="33" t="s">
        <v>41</v>
      </c>
      <c r="JR7" s="34" t="s">
        <v>42</v>
      </c>
      <c r="JS7" s="35" t="s">
        <v>43</v>
      </c>
      <c r="JT7" s="886"/>
      <c r="JU7" s="826"/>
      <c r="JV7" s="36" t="s">
        <v>44</v>
      </c>
      <c r="JW7" s="839"/>
      <c r="JX7" s="821"/>
      <c r="JY7" s="821"/>
      <c r="JZ7" s="822"/>
      <c r="KA7" s="33" t="s">
        <v>41</v>
      </c>
      <c r="KB7" s="34" t="s">
        <v>42</v>
      </c>
      <c r="KC7" s="35" t="s">
        <v>43</v>
      </c>
      <c r="KD7" s="863"/>
      <c r="KE7" s="826"/>
      <c r="KF7" s="36" t="s">
        <v>44</v>
      </c>
      <c r="KG7" s="839"/>
      <c r="KH7" s="821"/>
      <c r="KI7" s="821"/>
      <c r="KJ7" s="822"/>
      <c r="KK7" s="33" t="s">
        <v>41</v>
      </c>
      <c r="KL7" s="34" t="s">
        <v>42</v>
      </c>
      <c r="KM7" s="35" t="s">
        <v>43</v>
      </c>
      <c r="KN7" s="886"/>
      <c r="KO7" s="826"/>
      <c r="KP7" s="36" t="s">
        <v>44</v>
      </c>
      <c r="KQ7" s="839"/>
      <c r="KR7" s="821"/>
      <c r="KS7" s="821"/>
      <c r="KT7" s="822"/>
      <c r="KU7" s="37" t="s">
        <v>41</v>
      </c>
      <c r="KV7" s="34" t="s">
        <v>42</v>
      </c>
      <c r="KW7" s="35" t="s">
        <v>43</v>
      </c>
      <c r="KX7" s="44" t="s">
        <v>34</v>
      </c>
      <c r="KY7" s="826"/>
      <c r="KZ7" s="36" t="s">
        <v>44</v>
      </c>
      <c r="LA7" s="857"/>
      <c r="LB7" s="859"/>
      <c r="LC7" s="852"/>
      <c r="LD7" s="852"/>
      <c r="LE7" s="912"/>
      <c r="LF7" s="45"/>
      <c r="LG7" s="914"/>
      <c r="LH7" s="821"/>
      <c r="LI7" s="821"/>
      <c r="LJ7" s="821"/>
      <c r="LK7" s="822"/>
      <c r="LL7" s="33" t="s">
        <v>41</v>
      </c>
      <c r="LM7" s="34" t="s">
        <v>42</v>
      </c>
      <c r="LN7" s="35" t="s">
        <v>43</v>
      </c>
      <c r="LO7" s="886"/>
      <c r="LP7" s="826"/>
      <c r="LQ7" s="36" t="s">
        <v>44</v>
      </c>
      <c r="LR7" s="839"/>
      <c r="LS7" s="821"/>
      <c r="LT7" s="821"/>
      <c r="LU7" s="822"/>
      <c r="LV7" s="33" t="s">
        <v>41</v>
      </c>
      <c r="LW7" s="34" t="s">
        <v>42</v>
      </c>
      <c r="LX7" s="35" t="s">
        <v>43</v>
      </c>
      <c r="LY7" s="886"/>
      <c r="LZ7" s="826"/>
      <c r="MA7" s="36" t="s">
        <v>44</v>
      </c>
      <c r="MB7" s="839"/>
      <c r="MC7" s="821"/>
      <c r="MD7" s="821"/>
      <c r="ME7" s="822"/>
      <c r="MF7" s="33" t="s">
        <v>41</v>
      </c>
      <c r="MG7" s="34" t="s">
        <v>42</v>
      </c>
      <c r="MH7" s="35" t="s">
        <v>43</v>
      </c>
      <c r="MI7" s="863"/>
      <c r="MJ7" s="826"/>
      <c r="MK7" s="36" t="s">
        <v>44</v>
      </c>
      <c r="ML7" s="839"/>
      <c r="MM7" s="821"/>
      <c r="MN7" s="821"/>
      <c r="MO7" s="822"/>
      <c r="MP7" s="33" t="s">
        <v>41</v>
      </c>
      <c r="MQ7" s="34" t="s">
        <v>42</v>
      </c>
      <c r="MR7" s="35" t="s">
        <v>43</v>
      </c>
      <c r="MS7" s="886"/>
      <c r="MT7" s="826"/>
      <c r="MU7" s="36" t="s">
        <v>44</v>
      </c>
      <c r="MV7" s="839"/>
      <c r="MW7" s="821"/>
      <c r="MX7" s="821"/>
      <c r="MY7" s="822"/>
      <c r="MZ7" s="37" t="s">
        <v>41</v>
      </c>
      <c r="NA7" s="34" t="s">
        <v>42</v>
      </c>
      <c r="NB7" s="35" t="s">
        <v>43</v>
      </c>
      <c r="NC7" s="44" t="s">
        <v>34</v>
      </c>
      <c r="ND7" s="826"/>
      <c r="NE7" s="36" t="s">
        <v>44</v>
      </c>
      <c r="NF7" s="865"/>
      <c r="NG7" s="867"/>
      <c r="NH7" s="869"/>
      <c r="NI7" s="869"/>
      <c r="NJ7" s="917"/>
      <c r="NK7" s="46"/>
      <c r="NL7" s="914"/>
      <c r="NM7" s="821"/>
      <c r="NN7" s="821"/>
      <c r="NO7" s="821"/>
      <c r="NP7" s="822"/>
      <c r="NQ7" s="33" t="s">
        <v>41</v>
      </c>
      <c r="NR7" s="34" t="s">
        <v>42</v>
      </c>
      <c r="NS7" s="35" t="s">
        <v>43</v>
      </c>
      <c r="NT7" s="886"/>
      <c r="NU7" s="826"/>
      <c r="NV7" s="36" t="s">
        <v>44</v>
      </c>
      <c r="NW7" s="839"/>
      <c r="NX7" s="821"/>
      <c r="NY7" s="821"/>
      <c r="NZ7" s="822"/>
      <c r="OA7" s="33" t="s">
        <v>41</v>
      </c>
      <c r="OB7" s="34" t="s">
        <v>42</v>
      </c>
      <c r="OC7" s="35" t="s">
        <v>43</v>
      </c>
      <c r="OD7" s="886"/>
      <c r="OE7" s="826"/>
      <c r="OF7" s="36" t="s">
        <v>44</v>
      </c>
      <c r="OG7" s="839"/>
      <c r="OH7" s="821"/>
      <c r="OI7" s="821"/>
      <c r="OJ7" s="822"/>
      <c r="OK7" s="33" t="s">
        <v>41</v>
      </c>
      <c r="OL7" s="34" t="s">
        <v>42</v>
      </c>
      <c r="OM7" s="35" t="s">
        <v>43</v>
      </c>
      <c r="ON7" s="863"/>
      <c r="OO7" s="826"/>
      <c r="OP7" s="36" t="s">
        <v>44</v>
      </c>
      <c r="OQ7" s="839"/>
      <c r="OR7" s="821"/>
      <c r="OS7" s="821"/>
      <c r="OT7" s="822"/>
      <c r="OU7" s="33" t="s">
        <v>41</v>
      </c>
      <c r="OV7" s="34" t="s">
        <v>42</v>
      </c>
      <c r="OW7" s="35" t="s">
        <v>43</v>
      </c>
      <c r="OX7" s="886"/>
      <c r="OY7" s="826"/>
      <c r="OZ7" s="36" t="s">
        <v>44</v>
      </c>
      <c r="PA7" s="839"/>
      <c r="PB7" s="821"/>
      <c r="PC7" s="821"/>
      <c r="PD7" s="822"/>
      <c r="PE7" s="37" t="s">
        <v>41</v>
      </c>
      <c r="PF7" s="34" t="s">
        <v>42</v>
      </c>
      <c r="PG7" s="35" t="s">
        <v>43</v>
      </c>
      <c r="PH7" s="44" t="s">
        <v>34</v>
      </c>
      <c r="PI7" s="826"/>
      <c r="PJ7" s="36" t="s">
        <v>44</v>
      </c>
      <c r="PK7" s="875"/>
      <c r="PL7" s="877"/>
      <c r="PM7" s="879"/>
      <c r="PN7" s="879"/>
      <c r="PO7" s="920"/>
      <c r="PP7" s="46"/>
      <c r="PQ7" s="914"/>
      <c r="PR7" s="821"/>
      <c r="PS7" s="821"/>
      <c r="PT7" s="821"/>
      <c r="PU7" s="822"/>
      <c r="PV7" s="33" t="s">
        <v>41</v>
      </c>
      <c r="PW7" s="34" t="s">
        <v>42</v>
      </c>
      <c r="PX7" s="35" t="s">
        <v>43</v>
      </c>
      <c r="PY7" s="886"/>
      <c r="PZ7" s="826"/>
      <c r="QA7" s="36" t="s">
        <v>44</v>
      </c>
      <c r="QB7" s="839"/>
      <c r="QC7" s="821"/>
      <c r="QD7" s="821"/>
      <c r="QE7" s="822"/>
      <c r="QF7" s="33" t="s">
        <v>41</v>
      </c>
      <c r="QG7" s="34" t="s">
        <v>42</v>
      </c>
      <c r="QH7" s="35" t="s">
        <v>43</v>
      </c>
      <c r="QI7" s="886"/>
      <c r="QJ7" s="826"/>
      <c r="QK7" s="36" t="s">
        <v>44</v>
      </c>
      <c r="QL7" s="839"/>
      <c r="QM7" s="821"/>
      <c r="QN7" s="821"/>
      <c r="QO7" s="822"/>
      <c r="QP7" s="33" t="s">
        <v>41</v>
      </c>
      <c r="QQ7" s="34" t="s">
        <v>42</v>
      </c>
      <c r="QR7" s="35" t="s">
        <v>43</v>
      </c>
      <c r="QS7" s="863"/>
      <c r="QT7" s="826"/>
      <c r="QU7" s="36" t="s">
        <v>44</v>
      </c>
      <c r="QV7" s="839"/>
      <c r="QW7" s="821"/>
      <c r="QX7" s="821"/>
      <c r="QY7" s="822"/>
      <c r="QZ7" s="33" t="s">
        <v>41</v>
      </c>
      <c r="RA7" s="34" t="s">
        <v>42</v>
      </c>
      <c r="RB7" s="35" t="s">
        <v>43</v>
      </c>
      <c r="RC7" s="886"/>
      <c r="RD7" s="826"/>
      <c r="RE7" s="36" t="s">
        <v>44</v>
      </c>
      <c r="RF7" s="839"/>
      <c r="RG7" s="821"/>
      <c r="RH7" s="821"/>
      <c r="RI7" s="822"/>
      <c r="RJ7" s="37" t="s">
        <v>41</v>
      </c>
      <c r="RK7" s="34" t="s">
        <v>42</v>
      </c>
      <c r="RL7" s="35" t="s">
        <v>43</v>
      </c>
      <c r="RM7" s="44" t="s">
        <v>34</v>
      </c>
      <c r="RN7" s="826"/>
      <c r="RO7" s="36" t="s">
        <v>44</v>
      </c>
      <c r="RP7" s="922"/>
      <c r="RQ7" s="885"/>
      <c r="RR7" s="888"/>
      <c r="RS7" s="888"/>
      <c r="RT7" s="925"/>
      <c r="RV7" s="927"/>
      <c r="RW7" s="929"/>
      <c r="RX7" s="931"/>
      <c r="RY7" s="933"/>
      <c r="SA7" s="935"/>
      <c r="SB7" s="838"/>
      <c r="SC7" s="821"/>
      <c r="SD7" s="821"/>
      <c r="SE7" s="822"/>
      <c r="SF7" s="33" t="s">
        <v>41</v>
      </c>
      <c r="SG7" s="37" t="s">
        <v>42</v>
      </c>
      <c r="SH7" s="47" t="s">
        <v>43</v>
      </c>
      <c r="SI7" s="886"/>
      <c r="SJ7" s="826"/>
      <c r="SK7" s="39" t="s">
        <v>44</v>
      </c>
      <c r="SL7" s="821"/>
      <c r="SM7" s="821"/>
      <c r="SN7" s="821"/>
      <c r="SO7" s="822"/>
      <c r="SP7" s="33" t="s">
        <v>41</v>
      </c>
      <c r="SQ7" s="37" t="s">
        <v>42</v>
      </c>
      <c r="SR7" s="47" t="s">
        <v>43</v>
      </c>
      <c r="SS7" s="886"/>
      <c r="ST7" s="826"/>
      <c r="SU7" s="39" t="s">
        <v>44</v>
      </c>
      <c r="SV7" s="821"/>
      <c r="SW7" s="821"/>
      <c r="SX7" s="821"/>
      <c r="SY7" s="822"/>
      <c r="SZ7" s="33" t="s">
        <v>41</v>
      </c>
      <c r="TA7" s="37" t="s">
        <v>42</v>
      </c>
      <c r="TB7" s="47" t="s">
        <v>43</v>
      </c>
      <c r="TC7" s="886"/>
      <c r="TD7" s="826"/>
      <c r="TE7" s="39" t="s">
        <v>44</v>
      </c>
      <c r="TF7" s="821"/>
      <c r="TG7" s="821"/>
      <c r="TH7" s="821"/>
      <c r="TI7" s="822"/>
      <c r="TJ7" s="33" t="s">
        <v>41</v>
      </c>
      <c r="TK7" s="37" t="s">
        <v>42</v>
      </c>
      <c r="TL7" s="47" t="s">
        <v>43</v>
      </c>
      <c r="TM7" s="886"/>
      <c r="TN7" s="826"/>
      <c r="TO7" s="39" t="s">
        <v>44</v>
      </c>
      <c r="TP7" s="821"/>
      <c r="TQ7" s="821"/>
      <c r="TR7" s="821"/>
      <c r="TS7" s="822"/>
      <c r="TT7" s="37" t="s">
        <v>41</v>
      </c>
      <c r="TU7" s="37" t="s">
        <v>42</v>
      </c>
      <c r="TV7" s="47" t="s">
        <v>43</v>
      </c>
      <c r="TW7" s="44" t="s">
        <v>34</v>
      </c>
      <c r="TX7" s="826"/>
      <c r="TY7" s="40" t="s">
        <v>44</v>
      </c>
      <c r="TZ7" s="941"/>
      <c r="UA7" s="943"/>
      <c r="UB7" s="945"/>
      <c r="UC7" s="937"/>
      <c r="UE7" s="939"/>
      <c r="UF7" s="838"/>
      <c r="UG7" s="821"/>
      <c r="UH7" s="821"/>
      <c r="UI7" s="822"/>
      <c r="UJ7" s="33" t="s">
        <v>41</v>
      </c>
      <c r="UK7" s="37" t="s">
        <v>42</v>
      </c>
      <c r="UL7" s="47" t="s">
        <v>43</v>
      </c>
      <c r="UM7" s="886"/>
      <c r="UN7" s="826"/>
      <c r="UO7" s="39" t="s">
        <v>44</v>
      </c>
      <c r="UP7" s="821"/>
      <c r="UQ7" s="821"/>
      <c r="UR7" s="821"/>
      <c r="US7" s="822"/>
      <c r="UT7" s="33" t="s">
        <v>41</v>
      </c>
      <c r="UU7" s="37" t="s">
        <v>42</v>
      </c>
      <c r="UV7" s="47" t="s">
        <v>43</v>
      </c>
      <c r="UW7" s="886"/>
      <c r="UX7" s="826"/>
      <c r="UY7" s="39" t="s">
        <v>44</v>
      </c>
      <c r="UZ7" s="821"/>
      <c r="VA7" s="821"/>
      <c r="VB7" s="821"/>
      <c r="VC7" s="822"/>
      <c r="VD7" s="33" t="s">
        <v>41</v>
      </c>
      <c r="VE7" s="37" t="s">
        <v>42</v>
      </c>
      <c r="VF7" s="47" t="s">
        <v>43</v>
      </c>
      <c r="VG7" s="886"/>
      <c r="VH7" s="826"/>
      <c r="VI7" s="39" t="s">
        <v>44</v>
      </c>
      <c r="VJ7" s="821"/>
      <c r="VK7" s="821"/>
      <c r="VL7" s="821"/>
      <c r="VM7" s="822"/>
      <c r="VN7" s="33" t="s">
        <v>41</v>
      </c>
      <c r="VO7" s="37" t="s">
        <v>42</v>
      </c>
      <c r="VP7" s="47" t="s">
        <v>43</v>
      </c>
      <c r="VQ7" s="886"/>
      <c r="VR7" s="826"/>
      <c r="VS7" s="39" t="s">
        <v>44</v>
      </c>
      <c r="VT7" s="821"/>
      <c r="VU7" s="821"/>
      <c r="VV7" s="821"/>
      <c r="VW7" s="822"/>
      <c r="VX7" s="37" t="s">
        <v>41</v>
      </c>
      <c r="VY7" s="37" t="s">
        <v>42</v>
      </c>
      <c r="VZ7" s="47" t="s">
        <v>43</v>
      </c>
      <c r="WA7" s="44" t="s">
        <v>34</v>
      </c>
      <c r="WB7" s="826"/>
      <c r="WC7" s="39" t="s">
        <v>44</v>
      </c>
      <c r="WD7" s="947"/>
      <c r="WE7" s="948"/>
      <c r="WF7" s="949"/>
      <c r="WG7" s="871"/>
      <c r="WH7" s="38"/>
      <c r="WI7" s="939"/>
      <c r="WJ7" s="838"/>
      <c r="WK7" s="821"/>
      <c r="WL7" s="821"/>
      <c r="WM7" s="822"/>
      <c r="WN7" s="33" t="s">
        <v>41</v>
      </c>
      <c r="WO7" s="37" t="s">
        <v>42</v>
      </c>
      <c r="WP7" s="47" t="s">
        <v>43</v>
      </c>
      <c r="WQ7" s="886"/>
      <c r="WR7" s="826"/>
      <c r="WS7" s="39" t="s">
        <v>44</v>
      </c>
      <c r="WT7" s="821"/>
      <c r="WU7" s="821"/>
      <c r="WV7" s="821"/>
      <c r="WW7" s="822"/>
      <c r="WX7" s="33" t="s">
        <v>41</v>
      </c>
      <c r="WY7" s="37" t="s">
        <v>42</v>
      </c>
      <c r="WZ7" s="47" t="s">
        <v>43</v>
      </c>
      <c r="XA7" s="886"/>
      <c r="XB7" s="826"/>
      <c r="XC7" s="39" t="s">
        <v>44</v>
      </c>
      <c r="XD7" s="821"/>
      <c r="XE7" s="821"/>
      <c r="XF7" s="821"/>
      <c r="XG7" s="822"/>
      <c r="XH7" s="33" t="s">
        <v>41</v>
      </c>
      <c r="XI7" s="37" t="s">
        <v>42</v>
      </c>
      <c r="XJ7" s="47" t="s">
        <v>43</v>
      </c>
      <c r="XK7" s="886"/>
      <c r="XL7" s="826"/>
      <c r="XM7" s="39" t="s">
        <v>44</v>
      </c>
      <c r="XN7" s="821"/>
      <c r="XO7" s="821"/>
      <c r="XP7" s="821"/>
      <c r="XQ7" s="822"/>
      <c r="XR7" s="33" t="s">
        <v>41</v>
      </c>
      <c r="XS7" s="37" t="s">
        <v>42</v>
      </c>
      <c r="XT7" s="47" t="s">
        <v>43</v>
      </c>
      <c r="XU7" s="886"/>
      <c r="XV7" s="826"/>
      <c r="XW7" s="39" t="s">
        <v>44</v>
      </c>
      <c r="XX7" s="821"/>
      <c r="XY7" s="821"/>
      <c r="XZ7" s="821"/>
      <c r="YA7" s="822"/>
      <c r="YB7" s="37" t="s">
        <v>41</v>
      </c>
      <c r="YC7" s="37" t="s">
        <v>42</v>
      </c>
      <c r="YD7" s="47" t="s">
        <v>43</v>
      </c>
      <c r="YE7" s="44" t="s">
        <v>34</v>
      </c>
      <c r="YF7" s="826"/>
      <c r="YG7" s="39" t="s">
        <v>44</v>
      </c>
      <c r="YH7" s="951"/>
      <c r="YI7" s="953"/>
      <c r="YJ7" s="955"/>
      <c r="YK7" s="957"/>
      <c r="YL7" s="48"/>
      <c r="YM7" s="873"/>
      <c r="YN7" s="821"/>
      <c r="YO7" s="821"/>
      <c r="YP7" s="822"/>
      <c r="YQ7" s="33" t="s">
        <v>41</v>
      </c>
      <c r="YR7" s="37" t="s">
        <v>42</v>
      </c>
      <c r="YS7" s="47" t="s">
        <v>43</v>
      </c>
      <c r="YT7" s="886"/>
      <c r="YU7" s="826"/>
      <c r="YV7" s="39" t="s">
        <v>44</v>
      </c>
      <c r="YW7" s="821"/>
      <c r="YX7" s="821"/>
      <c r="YY7" s="821"/>
      <c r="YZ7" s="822"/>
      <c r="ZA7" s="33" t="s">
        <v>41</v>
      </c>
      <c r="ZB7" s="37" t="s">
        <v>42</v>
      </c>
      <c r="ZC7" s="47" t="s">
        <v>43</v>
      </c>
      <c r="ZD7" s="886"/>
      <c r="ZE7" s="826"/>
      <c r="ZF7" s="39" t="s">
        <v>44</v>
      </c>
      <c r="ZG7" s="821"/>
      <c r="ZH7" s="821"/>
      <c r="ZI7" s="821"/>
      <c r="ZJ7" s="822"/>
      <c r="ZK7" s="33" t="s">
        <v>41</v>
      </c>
      <c r="ZL7" s="37" t="s">
        <v>42</v>
      </c>
      <c r="ZM7" s="47" t="s">
        <v>43</v>
      </c>
      <c r="ZN7" s="886"/>
      <c r="ZO7" s="826"/>
      <c r="ZP7" s="39" t="s">
        <v>44</v>
      </c>
      <c r="ZQ7" s="821"/>
      <c r="ZR7" s="821"/>
      <c r="ZS7" s="821"/>
      <c r="ZT7" s="822"/>
      <c r="ZU7" s="33" t="s">
        <v>41</v>
      </c>
      <c r="ZV7" s="37" t="s">
        <v>42</v>
      </c>
      <c r="ZW7" s="47" t="s">
        <v>43</v>
      </c>
      <c r="ZX7" s="886"/>
      <c r="ZY7" s="826"/>
      <c r="ZZ7" s="39" t="s">
        <v>44</v>
      </c>
      <c r="AAA7" s="821"/>
      <c r="AAB7" s="821"/>
      <c r="AAC7" s="821"/>
      <c r="AAD7" s="822"/>
      <c r="AAE7" s="37" t="s">
        <v>41</v>
      </c>
      <c r="AAF7" s="37" t="s">
        <v>42</v>
      </c>
      <c r="AAG7" s="47" t="s">
        <v>43</v>
      </c>
      <c r="AAH7" s="44" t="s">
        <v>34</v>
      </c>
      <c r="AAI7" s="826"/>
      <c r="AAJ7" s="39" t="s">
        <v>44</v>
      </c>
      <c r="AAK7" s="959"/>
      <c r="AAL7" s="961"/>
      <c r="AAM7" s="963"/>
      <c r="AAN7" s="965"/>
      <c r="AAO7" s="838"/>
      <c r="AAP7" s="821"/>
      <c r="AAQ7" s="821"/>
      <c r="AAR7" s="822"/>
      <c r="AAS7" s="33" t="s">
        <v>41</v>
      </c>
      <c r="AAT7" s="37" t="s">
        <v>42</v>
      </c>
      <c r="AAU7" s="47" t="s">
        <v>43</v>
      </c>
      <c r="AAV7" s="886"/>
      <c r="AAW7" s="826"/>
      <c r="AAX7" s="49"/>
      <c r="AAY7" s="39" t="s">
        <v>44</v>
      </c>
      <c r="AAZ7" s="821"/>
      <c r="ABA7" s="821"/>
      <c r="ABB7" s="821"/>
      <c r="ABC7" s="822"/>
      <c r="ABD7" s="33" t="s">
        <v>41</v>
      </c>
      <c r="ABE7" s="37" t="s">
        <v>42</v>
      </c>
      <c r="ABF7" s="47" t="s">
        <v>43</v>
      </c>
      <c r="ABG7" s="886"/>
      <c r="ABH7" s="826"/>
      <c r="ABI7" s="39" t="s">
        <v>44</v>
      </c>
      <c r="ABJ7" s="821"/>
      <c r="ABK7" s="821"/>
      <c r="ABL7" s="821"/>
      <c r="ABM7" s="822"/>
      <c r="ABN7" s="33" t="s">
        <v>41</v>
      </c>
      <c r="ABO7" s="37" t="s">
        <v>42</v>
      </c>
      <c r="ABP7" s="47" t="s">
        <v>43</v>
      </c>
      <c r="ABQ7" s="886"/>
      <c r="ABR7" s="826"/>
      <c r="ABS7" s="39" t="s">
        <v>44</v>
      </c>
      <c r="ABT7" s="821"/>
      <c r="ABU7" s="821"/>
      <c r="ABV7" s="821"/>
      <c r="ABW7" s="822"/>
      <c r="ABX7" s="33" t="s">
        <v>41</v>
      </c>
      <c r="ABY7" s="37" t="s">
        <v>42</v>
      </c>
      <c r="ABZ7" s="47" t="s">
        <v>43</v>
      </c>
      <c r="ACA7" s="886"/>
      <c r="ACB7" s="826"/>
      <c r="ACC7" s="39" t="s">
        <v>44</v>
      </c>
      <c r="ACD7" s="821"/>
      <c r="ACE7" s="821"/>
      <c r="ACF7" s="821"/>
      <c r="ACG7" s="822"/>
      <c r="ACH7" s="37" t="s">
        <v>41</v>
      </c>
      <c r="ACI7" s="37" t="s">
        <v>42</v>
      </c>
      <c r="ACJ7" s="47" t="s">
        <v>43</v>
      </c>
      <c r="ACK7" s="44" t="s">
        <v>34</v>
      </c>
      <c r="ACL7" s="826"/>
      <c r="ACM7" s="39" t="s">
        <v>44</v>
      </c>
      <c r="ACN7" s="972"/>
      <c r="ACO7" s="50"/>
      <c r="ACP7" s="974"/>
      <c r="ACQ7" s="976"/>
      <c r="ACR7" s="978"/>
      <c r="ACS7" s="980"/>
      <c r="ACT7" s="967"/>
      <c r="ACU7" s="968"/>
      <c r="ACW7" s="43" t="s">
        <v>92</v>
      </c>
      <c r="ACX7" s="5" t="s">
        <v>45</v>
      </c>
    </row>
    <row r="8" spans="1:778" s="102" customFormat="1" x14ac:dyDescent="0.35">
      <c r="A8" s="51" t="s">
        <v>46</v>
      </c>
      <c r="B8" s="52" t="s">
        <v>91</v>
      </c>
      <c r="C8" s="53"/>
      <c r="D8" s="54"/>
      <c r="E8" s="54"/>
      <c r="F8" s="54"/>
      <c r="G8" s="54">
        <v>37</v>
      </c>
      <c r="H8" s="55"/>
      <c r="I8" s="56"/>
      <c r="J8" s="57"/>
      <c r="K8" s="58">
        <f t="shared" ref="K8:K30" si="0">+C8+D8+E8+F8+G8+H8</f>
        <v>37</v>
      </c>
      <c r="L8" s="59"/>
      <c r="M8" s="60"/>
      <c r="N8" s="60"/>
      <c r="O8" s="60">
        <v>70</v>
      </c>
      <c r="P8" s="60"/>
      <c r="Q8" s="61"/>
      <c r="R8" s="56"/>
      <c r="S8" s="57"/>
      <c r="T8" s="58">
        <f t="shared" ref="T8:T30" si="1">+L8+M8+N8+O8+P8+Q8</f>
        <v>70</v>
      </c>
      <c r="U8" s="62"/>
      <c r="V8" s="63"/>
      <c r="W8" s="63"/>
      <c r="X8" s="63"/>
      <c r="Y8" s="63"/>
      <c r="Z8" s="64"/>
      <c r="AA8" s="65"/>
      <c r="AB8" s="66"/>
      <c r="AC8" s="67">
        <f t="shared" ref="AC8:AC30" si="2">+Z8+Y8+X8+W8+V8+U8</f>
        <v>0</v>
      </c>
      <c r="AD8" s="68"/>
      <c r="AE8" s="69"/>
      <c r="AF8" s="69"/>
      <c r="AG8" s="69"/>
      <c r="AH8" s="69"/>
      <c r="AI8" s="70"/>
      <c r="AJ8" s="71"/>
      <c r="AK8" s="72"/>
      <c r="AL8" s="73">
        <f t="shared" ref="AL8:AL30" si="3">+AI8+AH8+AG8+AF8+AE8+AD8</f>
        <v>0</v>
      </c>
      <c r="AM8" s="74"/>
      <c r="AN8" s="75"/>
      <c r="AO8" s="75"/>
      <c r="AP8" s="75"/>
      <c r="AQ8" s="76"/>
      <c r="AR8" s="77"/>
      <c r="AS8" s="78"/>
      <c r="AT8" s="79"/>
      <c r="AU8" s="80">
        <f t="shared" ref="AU8:AU30" si="4">+AR8+AQ8+AP8+AO8+AN8+AM8</f>
        <v>0</v>
      </c>
      <c r="AV8" s="81">
        <v>30</v>
      </c>
      <c r="AW8" s="82">
        <f>+K8+T8+AC8+AL8+AU8</f>
        <v>107</v>
      </c>
      <c r="AX8" s="82">
        <v>50</v>
      </c>
      <c r="AY8" s="83">
        <f t="shared" ref="AY8:AY31" si="5">+AW8/AX8</f>
        <v>2.14</v>
      </c>
      <c r="AZ8" s="84"/>
      <c r="BA8" s="85"/>
      <c r="BB8" s="60"/>
      <c r="BC8" s="60"/>
      <c r="BD8" s="60">
        <v>51</v>
      </c>
      <c r="BE8" s="60"/>
      <c r="BF8" s="61"/>
      <c r="BG8" s="56"/>
      <c r="BH8" s="57"/>
      <c r="BI8" s="86">
        <f t="shared" ref="BI8:BI30" si="6">+BA8+BB8+BC8+BD8+BE8+BF8</f>
        <v>51</v>
      </c>
      <c r="BJ8" s="87"/>
      <c r="BK8" s="60"/>
      <c r="BL8" s="60"/>
      <c r="BM8" s="60">
        <v>67</v>
      </c>
      <c r="BN8" s="60"/>
      <c r="BO8" s="61"/>
      <c r="BP8" s="56"/>
      <c r="BQ8" s="57"/>
      <c r="BR8" s="58">
        <f t="shared" ref="BR8:BR30" si="7">+BJ8+BK8+BL8+BM8+BN8+BO8</f>
        <v>67</v>
      </c>
      <c r="BS8" s="59"/>
      <c r="BT8" s="60"/>
      <c r="BU8" s="60"/>
      <c r="BV8" s="60">
        <v>86</v>
      </c>
      <c r="BW8" s="60"/>
      <c r="BX8" s="61"/>
      <c r="BY8" s="56"/>
      <c r="BZ8" s="57"/>
      <c r="CA8" s="58">
        <f>+BX8+BW8+BV8+BU8+BT8+BS8</f>
        <v>86</v>
      </c>
      <c r="CB8" s="59"/>
      <c r="CC8" s="60"/>
      <c r="CD8" s="60"/>
      <c r="CE8" s="60">
        <v>65</v>
      </c>
      <c r="CF8" s="60"/>
      <c r="CG8" s="61"/>
      <c r="CH8" s="56"/>
      <c r="CI8" s="57"/>
      <c r="CJ8" s="88">
        <f>+CG8+CF8+CE8+CD8+CC8+CB8</f>
        <v>65</v>
      </c>
      <c r="CK8" s="59"/>
      <c r="CL8" s="60"/>
      <c r="CM8" s="60"/>
      <c r="CN8" s="60">
        <v>58</v>
      </c>
      <c r="CO8" s="89"/>
      <c r="CP8" s="90"/>
      <c r="CQ8" s="56"/>
      <c r="CR8" s="57"/>
      <c r="CS8" s="91">
        <f>+CP8+CO8+CN8+CM8+CL8+CK8</f>
        <v>58</v>
      </c>
      <c r="CT8" s="92">
        <v>35</v>
      </c>
      <c r="CU8" s="93">
        <f>+BI8+BR8+CA8+CJ8+CS8</f>
        <v>327</v>
      </c>
      <c r="CV8" s="93">
        <v>250</v>
      </c>
      <c r="CW8" s="94">
        <f t="shared" ref="CW8:CW31" si="8">+CU8/CV8</f>
        <v>1.3080000000000001</v>
      </c>
      <c r="CX8" s="95"/>
      <c r="CY8" s="85"/>
      <c r="CZ8" s="60"/>
      <c r="DA8" s="60"/>
      <c r="DB8" s="60">
        <v>62</v>
      </c>
      <c r="DC8" s="60"/>
      <c r="DD8" s="61"/>
      <c r="DE8" s="56"/>
      <c r="DF8" s="57"/>
      <c r="DG8" s="58">
        <f t="shared" ref="DG8:DG30" si="9">+CY8+CZ8+DA8+DB8+DC8+DD8</f>
        <v>62</v>
      </c>
      <c r="DH8" s="59"/>
      <c r="DI8" s="60"/>
      <c r="DJ8" s="60"/>
      <c r="DK8" s="60">
        <v>37</v>
      </c>
      <c r="DL8" s="60"/>
      <c r="DM8" s="61"/>
      <c r="DN8" s="56"/>
      <c r="DO8" s="57"/>
      <c r="DP8" s="58">
        <f t="shared" ref="DP8:DP30" si="10">+DH8+DI8+DJ8+DK8+DL8+DM8</f>
        <v>37</v>
      </c>
      <c r="DQ8" s="59"/>
      <c r="DR8" s="60"/>
      <c r="DS8" s="60"/>
      <c r="DT8" s="60">
        <v>46</v>
      </c>
      <c r="DU8" s="60"/>
      <c r="DV8" s="61"/>
      <c r="DW8" s="56"/>
      <c r="DX8" s="57"/>
      <c r="DY8" s="58">
        <f>+DV8+DU8+DT8+DS8+DR8+DQ8</f>
        <v>46</v>
      </c>
      <c r="DZ8" s="59"/>
      <c r="EA8" s="60"/>
      <c r="EB8" s="60"/>
      <c r="EC8" s="60">
        <v>27</v>
      </c>
      <c r="ED8" s="60"/>
      <c r="EE8" s="61"/>
      <c r="EF8" s="56"/>
      <c r="EG8" s="57"/>
      <c r="EH8" s="96">
        <f>+EE8+ED8+EC8+EB8+EA8+DZ8</f>
        <v>27</v>
      </c>
      <c r="EI8" s="97"/>
      <c r="EJ8" s="60"/>
      <c r="EK8" s="60"/>
      <c r="EL8" s="60">
        <v>51</v>
      </c>
      <c r="EM8" s="89"/>
      <c r="EN8" s="90"/>
      <c r="EO8" s="56"/>
      <c r="EP8" s="57"/>
      <c r="EQ8" s="98">
        <f>+EN8+EM8+EL8+EK8+EJ8+EI8</f>
        <v>51</v>
      </c>
      <c r="ER8" s="99">
        <v>47</v>
      </c>
      <c r="ES8" s="100">
        <f>+DG8+DP8+DY8+EH8+EQ8</f>
        <v>223</v>
      </c>
      <c r="ET8" s="100">
        <v>250</v>
      </c>
      <c r="EU8" s="101">
        <f t="shared" ref="EU8:EU31" si="11">+ES8/ET8</f>
        <v>0.89200000000000002</v>
      </c>
      <c r="EW8" s="85"/>
      <c r="EX8" s="60"/>
      <c r="EY8" s="60"/>
      <c r="EZ8" s="60">
        <v>44</v>
      </c>
      <c r="FA8" s="60"/>
      <c r="FB8" s="61"/>
      <c r="FC8" s="56"/>
      <c r="FD8" s="57"/>
      <c r="FE8" s="58">
        <f t="shared" ref="FE8:FE30" si="12">+EW8+EX8+EY8+EZ8+FA8+FB8</f>
        <v>44</v>
      </c>
      <c r="FF8" s="59"/>
      <c r="FG8" s="60"/>
      <c r="FH8" s="60"/>
      <c r="FI8" s="60">
        <v>45</v>
      </c>
      <c r="FJ8" s="60"/>
      <c r="FK8" s="61"/>
      <c r="FL8" s="56"/>
      <c r="FM8" s="57"/>
      <c r="FN8" s="58">
        <f t="shared" ref="FN8:FN30" si="13">+FF8+FG8+FH8+FI8+FJ8+FK8</f>
        <v>45</v>
      </c>
      <c r="FO8" s="59"/>
      <c r="FP8" s="60"/>
      <c r="FQ8" s="60"/>
      <c r="FR8" s="60">
        <v>25</v>
      </c>
      <c r="FS8" s="60"/>
      <c r="FT8" s="61"/>
      <c r="FU8" s="56"/>
      <c r="FV8" s="57"/>
      <c r="FW8" s="58">
        <f>+FT8+FS8+FR8+FQ8+FP8+FO8</f>
        <v>25</v>
      </c>
      <c r="FX8" s="59"/>
      <c r="FY8" s="60"/>
      <c r="FZ8" s="60"/>
      <c r="GA8" s="60"/>
      <c r="GB8" s="60">
        <v>24</v>
      </c>
      <c r="GC8" s="61"/>
      <c r="GD8" s="56"/>
      <c r="GE8" s="57"/>
      <c r="GF8" s="58">
        <f>+GC8+GB8+GA8+FZ8+FY8+FX8</f>
        <v>24</v>
      </c>
      <c r="GG8" s="59"/>
      <c r="GH8" s="60"/>
      <c r="GI8" s="60"/>
      <c r="GJ8" s="60">
        <v>34</v>
      </c>
      <c r="GK8" s="89"/>
      <c r="GL8" s="90"/>
      <c r="GM8" s="56"/>
      <c r="GN8" s="57"/>
      <c r="GO8" s="58">
        <f>+GL8+GK8+GJ8+GI8+GH8+GG8</f>
        <v>34</v>
      </c>
      <c r="GP8" s="103">
        <v>48</v>
      </c>
      <c r="GQ8" s="104">
        <f>+FE8+FN8+FW8+GF8+GO8</f>
        <v>172</v>
      </c>
      <c r="GR8" s="104">
        <v>250</v>
      </c>
      <c r="GS8" s="105">
        <f t="shared" ref="GS8:GS31" si="14">+GQ8/GR8</f>
        <v>0.68799999999999994</v>
      </c>
      <c r="GT8" s="85"/>
      <c r="GU8" s="60"/>
      <c r="GV8" s="60"/>
      <c r="GW8" s="60"/>
      <c r="GX8" s="60"/>
      <c r="GY8" s="61"/>
      <c r="GZ8" s="56"/>
      <c r="HA8" s="57"/>
      <c r="HB8" s="57"/>
      <c r="HC8" s="58">
        <f t="shared" ref="HC8:HC30" si="15">+GT8+GU8+GV8+GW8+GX8+GY8</f>
        <v>0</v>
      </c>
      <c r="HD8" s="59"/>
      <c r="HE8" s="60"/>
      <c r="HF8" s="60"/>
      <c r="HG8" s="60"/>
      <c r="HH8" s="60"/>
      <c r="HI8" s="61"/>
      <c r="HJ8" s="56"/>
      <c r="HK8" s="57"/>
      <c r="HL8" s="57"/>
      <c r="HM8" s="58">
        <f t="shared" ref="HM8:HM30" si="16">+HD8+HE8+HF8+HG8+HH8+HI8</f>
        <v>0</v>
      </c>
      <c r="HN8" s="59"/>
      <c r="HO8" s="60"/>
      <c r="HP8" s="60"/>
      <c r="HQ8" s="60"/>
      <c r="HR8" s="60"/>
      <c r="HS8" s="61"/>
      <c r="HT8" s="56"/>
      <c r="HU8" s="57"/>
      <c r="HV8" s="57"/>
      <c r="HW8" s="58">
        <f t="shared" ref="HW8:HW30" si="17">+HS8+HR8+HQ8+HP8+HO8+HN8</f>
        <v>0</v>
      </c>
      <c r="HX8" s="59"/>
      <c r="HY8" s="60"/>
      <c r="HZ8" s="60"/>
      <c r="IA8" s="60"/>
      <c r="IB8" s="60"/>
      <c r="IC8" s="61"/>
      <c r="ID8" s="56"/>
      <c r="IE8" s="57"/>
      <c r="IF8" s="57"/>
      <c r="IG8" s="88">
        <f t="shared" ref="IG8:IG30" si="18">+IC8+IB8+IA8+HZ8+HY8+HX8</f>
        <v>0</v>
      </c>
      <c r="IH8" s="59"/>
      <c r="II8" s="60"/>
      <c r="IJ8" s="60"/>
      <c r="IK8" s="60"/>
      <c r="IL8" s="89"/>
      <c r="IM8" s="90"/>
      <c r="IN8" s="56"/>
      <c r="IO8" s="57"/>
      <c r="IP8" s="57"/>
      <c r="IQ8" s="58">
        <f t="shared" ref="IQ8:IQ30" si="19">+IM8+IL8+IK8+IJ8+II8+IH8</f>
        <v>0</v>
      </c>
      <c r="IR8" s="106"/>
      <c r="IS8" s="107"/>
      <c r="IT8" s="107"/>
      <c r="IU8" s="108"/>
      <c r="IV8" s="95"/>
      <c r="IW8" s="109">
        <f>+AV8+CT8+ER8+GP8</f>
        <v>160</v>
      </c>
      <c r="IX8" s="110">
        <f>+AW8+CU8+ES8+GQ8</f>
        <v>829</v>
      </c>
      <c r="IY8" s="110">
        <f>+AX8+CV8+ET8+GR8</f>
        <v>800</v>
      </c>
      <c r="IZ8" s="111">
        <f t="shared" ref="IZ8:IZ31" si="20">+IX8/IY8</f>
        <v>1.0362499999999999</v>
      </c>
      <c r="JB8" s="112" t="s">
        <v>47</v>
      </c>
      <c r="JC8" s="87"/>
      <c r="JD8" s="60"/>
      <c r="JE8" s="60"/>
      <c r="JF8" s="60"/>
      <c r="JG8" s="60">
        <v>30</v>
      </c>
      <c r="JH8" s="61"/>
      <c r="JI8" s="56"/>
      <c r="JJ8" s="57">
        <v>1</v>
      </c>
      <c r="JK8" s="57"/>
      <c r="JL8" s="58">
        <f t="shared" ref="JL8:JL11" si="21">+JC8+JD8+JE8+JF8+JG8+JH8</f>
        <v>30</v>
      </c>
      <c r="JM8" s="59"/>
      <c r="JN8" s="60"/>
      <c r="JO8" s="60"/>
      <c r="JP8" s="60"/>
      <c r="JQ8" s="60">
        <v>40</v>
      </c>
      <c r="JR8" s="61"/>
      <c r="JS8" s="56"/>
      <c r="JT8" s="57"/>
      <c r="JU8" s="57"/>
      <c r="JV8" s="58">
        <f t="shared" ref="JV8:JV11" si="22">+JM8+JN8+JO8+JP8+JQ8+JR8</f>
        <v>40</v>
      </c>
      <c r="JW8" s="59"/>
      <c r="JX8" s="60"/>
      <c r="JY8" s="60"/>
      <c r="JZ8" s="60"/>
      <c r="KA8" s="60">
        <v>19</v>
      </c>
      <c r="KB8" s="61"/>
      <c r="KC8" s="56"/>
      <c r="KD8" s="57">
        <v>7</v>
      </c>
      <c r="KE8" s="57"/>
      <c r="KF8" s="58">
        <f t="shared" ref="KF8:KF29" si="23">+KB8+KA8+JZ8+JY8+JX8+JW8</f>
        <v>19</v>
      </c>
      <c r="KG8" s="59"/>
      <c r="KH8" s="60"/>
      <c r="KI8" s="60"/>
      <c r="KJ8" s="60"/>
      <c r="KK8" s="60">
        <v>51</v>
      </c>
      <c r="KL8" s="61"/>
      <c r="KM8" s="56"/>
      <c r="KN8" s="57"/>
      <c r="KO8" s="57"/>
      <c r="KP8" s="88">
        <f t="shared" ref="KP8:KP29" si="24">+KL8+KK8+KJ8+KI8+KH8+KG8</f>
        <v>51</v>
      </c>
      <c r="KQ8" s="59"/>
      <c r="KR8" s="60"/>
      <c r="KS8" s="60"/>
      <c r="KT8" s="60"/>
      <c r="KU8" s="89">
        <v>113</v>
      </c>
      <c r="KV8" s="90"/>
      <c r="KW8" s="56"/>
      <c r="KX8" s="57">
        <v>330</v>
      </c>
      <c r="KY8" s="113"/>
      <c r="KZ8" s="58">
        <f t="shared" ref="KZ8:KZ29" si="25">+KV8+KU8+KT8+KS8+KR8+KQ8</f>
        <v>113</v>
      </c>
      <c r="LA8" s="81">
        <f>+JK8+JU8+KE8+KO8+KX8</f>
        <v>330</v>
      </c>
      <c r="LB8" s="82">
        <f t="shared" ref="LB8:LB29" si="26">+KZ8+KP8+KF8+JV8+JL8</f>
        <v>253</v>
      </c>
      <c r="LC8" s="82">
        <v>250</v>
      </c>
      <c r="LD8" s="82">
        <f>+LB8-LC8</f>
        <v>3</v>
      </c>
      <c r="LE8" s="114">
        <f>+LB8/LC8</f>
        <v>1.012</v>
      </c>
      <c r="LF8" s="115"/>
      <c r="LG8" s="116" t="s">
        <v>47</v>
      </c>
      <c r="LH8" s="87"/>
      <c r="LI8" s="60"/>
      <c r="LJ8" s="60"/>
      <c r="LK8" s="60"/>
      <c r="LL8" s="60">
        <v>78</v>
      </c>
      <c r="LM8" s="61"/>
      <c r="LN8" s="56"/>
      <c r="LO8" s="57"/>
      <c r="LP8" s="57"/>
      <c r="LQ8" s="58">
        <f t="shared" ref="LQ8:LQ11" si="27">+LH8+LI8+LJ8+LK8+LL8+LM8</f>
        <v>78</v>
      </c>
      <c r="LR8" s="59"/>
      <c r="LS8" s="60"/>
      <c r="LT8" s="60"/>
      <c r="LU8" s="60">
        <v>9</v>
      </c>
      <c r="LV8" s="60">
        <v>18</v>
      </c>
      <c r="LW8" s="61"/>
      <c r="LX8" s="56"/>
      <c r="LY8" s="57"/>
      <c r="LZ8" s="57"/>
      <c r="MA8" s="58">
        <f t="shared" ref="MA8:MA11" si="28">+LR8+LS8+LT8+LU8+LV8+LW8</f>
        <v>27</v>
      </c>
      <c r="MB8" s="59"/>
      <c r="MC8" s="60"/>
      <c r="MD8" s="60"/>
      <c r="ME8" s="60"/>
      <c r="MF8" s="60"/>
      <c r="MG8" s="61">
        <v>39</v>
      </c>
      <c r="MH8" s="56"/>
      <c r="MI8" s="57"/>
      <c r="MJ8" s="57"/>
      <c r="MK8" s="58">
        <f t="shared" ref="MK8:MK29" si="29">+MG8+MF8+ME8+MD8+MC8+MB8</f>
        <v>39</v>
      </c>
      <c r="ML8" s="59"/>
      <c r="MM8" s="60"/>
      <c r="MN8" s="60"/>
      <c r="MO8" s="60"/>
      <c r="MP8" s="60">
        <v>36</v>
      </c>
      <c r="MQ8" s="61"/>
      <c r="MR8" s="56"/>
      <c r="MS8" s="57"/>
      <c r="MT8" s="57"/>
      <c r="MU8" s="88">
        <f t="shared" ref="MU8:MU29" si="30">+MQ8+MP8+MO8+MN8+MM8+ML8</f>
        <v>36</v>
      </c>
      <c r="MV8" s="59"/>
      <c r="MW8" s="60"/>
      <c r="MX8" s="60"/>
      <c r="MY8" s="60"/>
      <c r="MZ8" s="89">
        <v>4</v>
      </c>
      <c r="NA8" s="90"/>
      <c r="NB8" s="56"/>
      <c r="NC8" s="57">
        <v>228</v>
      </c>
      <c r="ND8" s="57"/>
      <c r="NE8" s="58">
        <f t="shared" ref="NE8:NE29" si="31">+NA8+MZ8+MY8+MX8+MW8+MV8</f>
        <v>4</v>
      </c>
      <c r="NF8" s="117">
        <f>0+NC8</f>
        <v>228</v>
      </c>
      <c r="NG8" s="93">
        <f t="shared" ref="NG8:NG29" si="32">+NE8+MU8+MK8+MA8+LQ8</f>
        <v>184</v>
      </c>
      <c r="NH8" s="93">
        <v>184</v>
      </c>
      <c r="NI8" s="93">
        <f>+NG8-NH8</f>
        <v>0</v>
      </c>
      <c r="NJ8" s="118">
        <f>+NG8/NH8</f>
        <v>1</v>
      </c>
      <c r="NK8" s="119"/>
      <c r="NL8" s="116" t="s">
        <v>47</v>
      </c>
      <c r="NM8" s="87"/>
      <c r="NN8" s="60"/>
      <c r="NO8" s="60"/>
      <c r="NP8" s="60">
        <v>25</v>
      </c>
      <c r="NQ8" s="60"/>
      <c r="NR8" s="61"/>
      <c r="NS8" s="56"/>
      <c r="NT8" s="57"/>
      <c r="NU8" s="57"/>
      <c r="NV8" s="58">
        <f t="shared" ref="NV8:NV11" si="33">+NM8+NN8+NO8+NP8+NQ8+NR8</f>
        <v>25</v>
      </c>
      <c r="NW8" s="59"/>
      <c r="NX8" s="60"/>
      <c r="NY8" s="60"/>
      <c r="NZ8" s="60">
        <v>67</v>
      </c>
      <c r="OA8" s="60"/>
      <c r="OB8" s="61"/>
      <c r="OC8" s="56"/>
      <c r="OD8" s="57"/>
      <c r="OE8" s="57"/>
      <c r="OF8" s="58">
        <f t="shared" ref="OF8:OF11" si="34">+NW8+NX8+NY8+NZ8+OA8+OB8</f>
        <v>67</v>
      </c>
      <c r="OG8" s="59"/>
      <c r="OH8" s="60"/>
      <c r="OI8" s="60"/>
      <c r="OJ8" s="60">
        <v>107</v>
      </c>
      <c r="OK8" s="60"/>
      <c r="OL8" s="61"/>
      <c r="OM8" s="56"/>
      <c r="ON8" s="57"/>
      <c r="OO8" s="57"/>
      <c r="OP8" s="58">
        <f t="shared" ref="OP8:OP29" si="35">+OL8+OK8+OJ8+OI8+OH8+OG8</f>
        <v>107</v>
      </c>
      <c r="OQ8" s="59"/>
      <c r="OR8" s="60"/>
      <c r="OS8" s="60"/>
      <c r="OT8" s="60">
        <v>67</v>
      </c>
      <c r="OU8" s="60"/>
      <c r="OV8" s="61"/>
      <c r="OW8" s="56"/>
      <c r="OX8" s="57"/>
      <c r="OY8" s="57"/>
      <c r="OZ8" s="88">
        <f t="shared" ref="OZ8:OZ29" si="36">+OV8+OU8+OT8+OS8+OR8+OQ8</f>
        <v>67</v>
      </c>
      <c r="PA8" s="59"/>
      <c r="PB8" s="60"/>
      <c r="PC8" s="60"/>
      <c r="PD8" s="60">
        <v>74</v>
      </c>
      <c r="PE8" s="89"/>
      <c r="PF8" s="90"/>
      <c r="PG8" s="56"/>
      <c r="PH8" s="57"/>
      <c r="PI8" s="57"/>
      <c r="PJ8" s="58">
        <f t="shared" ref="PJ8:PJ29" si="37">+PF8+PE8+PD8+PC8+PB8+PA8</f>
        <v>74</v>
      </c>
      <c r="PK8" s="99">
        <f t="shared" ref="PK8:PK29" si="38">+NU8+OE8+OO8+OY8+PI8</f>
        <v>0</v>
      </c>
      <c r="PL8" s="100">
        <f t="shared" ref="PL8:PL29" si="39">+PJ8+OZ8+OP8+OF8+NV8</f>
        <v>340</v>
      </c>
      <c r="PM8" s="100">
        <v>250</v>
      </c>
      <c r="PN8" s="100">
        <f>+PL8-PM8</f>
        <v>90</v>
      </c>
      <c r="PO8" s="120">
        <f>+PL8/PM8</f>
        <v>1.36</v>
      </c>
      <c r="PP8" s="119"/>
      <c r="PQ8" s="116" t="s">
        <v>47</v>
      </c>
      <c r="PR8" s="87"/>
      <c r="PS8" s="60"/>
      <c r="PT8" s="60"/>
      <c r="PU8" s="60">
        <v>61</v>
      </c>
      <c r="PV8" s="60"/>
      <c r="PW8" s="61"/>
      <c r="PX8" s="56"/>
      <c r="PY8" s="57"/>
      <c r="PZ8" s="57"/>
      <c r="QA8" s="58">
        <f t="shared" ref="QA8:QA11" si="40">+PR8+PS8+PT8+PU8+PV8+PW8</f>
        <v>61</v>
      </c>
      <c r="QB8" s="59"/>
      <c r="QC8" s="60"/>
      <c r="QD8" s="60"/>
      <c r="QE8" s="60">
        <v>34</v>
      </c>
      <c r="QF8" s="60"/>
      <c r="QG8" s="61"/>
      <c r="QH8" s="56"/>
      <c r="QI8" s="57"/>
      <c r="QJ8" s="57"/>
      <c r="QK8" s="58">
        <f t="shared" ref="QK8:QK11" si="41">+QB8+QC8+QD8+QE8+QF8+QG8</f>
        <v>34</v>
      </c>
      <c r="QL8" s="59"/>
      <c r="QM8" s="60"/>
      <c r="QN8" s="60"/>
      <c r="QO8" s="60">
        <v>56</v>
      </c>
      <c r="QP8" s="60"/>
      <c r="QQ8" s="61"/>
      <c r="QR8" s="56"/>
      <c r="QS8" s="57"/>
      <c r="QT8" s="57"/>
      <c r="QU8" s="58">
        <f t="shared" ref="QU8:QU29" si="42">+QQ8+QP8+QO8+QN8+QM8+QL8</f>
        <v>56</v>
      </c>
      <c r="QV8" s="59"/>
      <c r="QW8" s="60"/>
      <c r="QX8" s="60"/>
      <c r="QY8" s="60">
        <v>64</v>
      </c>
      <c r="QZ8" s="60"/>
      <c r="RA8" s="61"/>
      <c r="RB8" s="56"/>
      <c r="RC8" s="57"/>
      <c r="RD8" s="57"/>
      <c r="RE8" s="88">
        <f t="shared" ref="RE8:RE29" si="43">+RA8+QZ8+QY8+QX8+QW8+QV8</f>
        <v>64</v>
      </c>
      <c r="RF8" s="59"/>
      <c r="RG8" s="60"/>
      <c r="RH8" s="60"/>
      <c r="RI8" s="60">
        <v>69</v>
      </c>
      <c r="RJ8" s="89"/>
      <c r="RK8" s="90"/>
      <c r="RL8" s="56"/>
      <c r="RM8" s="57">
        <v>34</v>
      </c>
      <c r="RN8" s="57"/>
      <c r="RO8" s="58">
        <f t="shared" ref="RO8:RO29" si="44">+RK8+RJ8+RI8+RH8+RG8+RF8</f>
        <v>69</v>
      </c>
      <c r="RP8" s="121">
        <f>+RM8</f>
        <v>34</v>
      </c>
      <c r="RQ8" s="104">
        <f t="shared" ref="RQ8:RQ29" si="45">+RO8+RE8+QU8+QK8+QA8</f>
        <v>284</v>
      </c>
      <c r="RR8" s="104">
        <v>250</v>
      </c>
      <c r="RS8" s="104">
        <f>+RQ8-RR8</f>
        <v>34</v>
      </c>
      <c r="RT8" s="122">
        <f>+RQ8/RR8</f>
        <v>1.1359999999999999</v>
      </c>
      <c r="RV8" s="123">
        <f>+LA8+NF8+PK8+RP8</f>
        <v>592</v>
      </c>
      <c r="RW8" s="124">
        <f>+LB8+NG8+PL8+RQ8</f>
        <v>1061</v>
      </c>
      <c r="RX8" s="124">
        <f>+LC8+NH8+PM8+RR8</f>
        <v>934</v>
      </c>
      <c r="RY8" s="125">
        <f>+RW8/RX8</f>
        <v>1.1359743040685224</v>
      </c>
      <c r="SA8" s="52" t="s">
        <v>47</v>
      </c>
      <c r="SB8" s="126"/>
      <c r="SC8" s="127"/>
      <c r="SD8" s="127"/>
      <c r="SE8" s="127"/>
      <c r="SF8" s="127">
        <v>19</v>
      </c>
      <c r="SG8" s="128"/>
      <c r="SH8" s="129"/>
      <c r="SI8" s="130"/>
      <c r="SJ8" s="130"/>
      <c r="SK8" s="131">
        <f t="shared" ref="SK8:SK9" si="46">+SB8+SC8+SD8+SE8+SF8+SG8</f>
        <v>19</v>
      </c>
      <c r="SL8" s="132"/>
      <c r="SM8" s="127"/>
      <c r="SN8" s="127"/>
      <c r="SO8" s="127"/>
      <c r="SP8" s="127">
        <v>15</v>
      </c>
      <c r="SQ8" s="128"/>
      <c r="SR8" s="133"/>
      <c r="SS8" s="134"/>
      <c r="ST8" s="134"/>
      <c r="SU8" s="131">
        <f t="shared" ref="SU8:SU9" si="47">+SL8+SM8+SN8+SO8+SP8+SQ8</f>
        <v>15</v>
      </c>
      <c r="SV8" s="132"/>
      <c r="SW8" s="127"/>
      <c r="SX8" s="127"/>
      <c r="SY8" s="127"/>
      <c r="SZ8" s="127">
        <v>25</v>
      </c>
      <c r="TA8" s="128"/>
      <c r="TB8" s="133"/>
      <c r="TC8" s="134"/>
      <c r="TD8" s="134"/>
      <c r="TE8" s="131">
        <f t="shared" ref="TE8:TE9" si="48">+TA8+SZ8+SY8+SX8+SW8+SV8</f>
        <v>25</v>
      </c>
      <c r="TF8" s="132"/>
      <c r="TG8" s="127"/>
      <c r="TH8" s="127"/>
      <c r="TI8" s="127"/>
      <c r="TJ8" s="127">
        <v>25</v>
      </c>
      <c r="TK8" s="128"/>
      <c r="TL8" s="133"/>
      <c r="TM8" s="134"/>
      <c r="TN8" s="134"/>
      <c r="TO8" s="131">
        <f t="shared" ref="TO8:TO30" si="49">+TK8+TJ8+TI8+TH8+TG8+TF8</f>
        <v>25</v>
      </c>
      <c r="TP8" s="132"/>
      <c r="TQ8" s="127"/>
      <c r="TR8" s="127"/>
      <c r="TS8" s="127"/>
      <c r="TT8" s="135">
        <v>51</v>
      </c>
      <c r="TU8" s="128"/>
      <c r="TV8" s="133"/>
      <c r="TW8" s="134"/>
      <c r="TX8" s="134"/>
      <c r="TY8" s="136">
        <f t="shared" ref="TY8:TY30" si="50">+TU8+TT8+TS8+TR8+TQ8+TP8</f>
        <v>51</v>
      </c>
      <c r="TZ8" s="137">
        <f>+SJ8+ST8+TD8+TN8+TX8</f>
        <v>0</v>
      </c>
      <c r="UA8" s="138">
        <f>+SK8+SU8+TE8+TO8+TY8</f>
        <v>135</v>
      </c>
      <c r="UB8" s="138">
        <v>250</v>
      </c>
      <c r="UC8" s="139">
        <f t="shared" ref="UC8:UC29" si="51">+UA8/UB8</f>
        <v>0.54</v>
      </c>
      <c r="UD8" s="140"/>
      <c r="UE8" s="141" t="s">
        <v>47</v>
      </c>
      <c r="UF8" s="126"/>
      <c r="UG8" s="127"/>
      <c r="UH8" s="127"/>
      <c r="UI8" s="127"/>
      <c r="UJ8" s="127">
        <v>60</v>
      </c>
      <c r="UK8" s="128"/>
      <c r="UL8" s="133"/>
      <c r="UM8" s="134"/>
      <c r="UN8" s="134"/>
      <c r="UO8" s="131">
        <f t="shared" ref="UO8:UO9" si="52">+UF8+UG8+UH8+UI8+UJ8+UK8</f>
        <v>60</v>
      </c>
      <c r="UP8" s="132"/>
      <c r="UQ8" s="127"/>
      <c r="UR8" s="127"/>
      <c r="US8" s="127"/>
      <c r="UT8" s="127">
        <v>69</v>
      </c>
      <c r="UU8" s="128"/>
      <c r="UV8" s="133"/>
      <c r="UW8" s="134"/>
      <c r="UX8" s="134"/>
      <c r="UY8" s="131">
        <f t="shared" ref="UY8:UY9" si="53">+UP8+UQ8+UR8+US8+UT8+UU8</f>
        <v>69</v>
      </c>
      <c r="UZ8" s="132"/>
      <c r="VA8" s="127"/>
      <c r="VB8" s="127"/>
      <c r="VC8" s="127"/>
      <c r="VD8" s="127"/>
      <c r="VE8" s="128"/>
      <c r="VF8" s="133"/>
      <c r="VG8" s="134"/>
      <c r="VH8" s="134"/>
      <c r="VI8" s="131">
        <f t="shared" ref="VI8:VI9" si="54">+VE8+VD8+VC8+VB8+VA8+UZ8</f>
        <v>0</v>
      </c>
      <c r="VJ8" s="132"/>
      <c r="VK8" s="127"/>
      <c r="VL8" s="127"/>
      <c r="VM8" s="127"/>
      <c r="VN8" s="127"/>
      <c r="VO8" s="128"/>
      <c r="VP8" s="133"/>
      <c r="VQ8" s="134"/>
      <c r="VR8" s="134"/>
      <c r="VS8" s="131">
        <f t="shared" ref="VS8:VS30" si="55">+VO8+VN8+VM8+VL8+VK8+VJ8</f>
        <v>0</v>
      </c>
      <c r="VT8" s="132"/>
      <c r="VU8" s="127"/>
      <c r="VV8" s="127"/>
      <c r="VW8" s="127"/>
      <c r="VX8" s="142"/>
      <c r="VY8" s="128"/>
      <c r="VZ8" s="133"/>
      <c r="WA8" s="134"/>
      <c r="WB8" s="134"/>
      <c r="WC8" s="131">
        <f t="shared" ref="WC8:WC30" si="56">+VY8+VX8+VW8+VV8+VU8+VT8</f>
        <v>0</v>
      </c>
      <c r="WD8" s="143">
        <f>+UN8+UX8+VH8+VR8+WB8</f>
        <v>0</v>
      </c>
      <c r="WE8" s="144">
        <f>+UO8+UY8+VI8+VS8+WC8</f>
        <v>129</v>
      </c>
      <c r="WF8" s="144">
        <v>100</v>
      </c>
      <c r="WG8" s="145">
        <f t="shared" ref="WG8:WG29" si="57">+WE8/WF8</f>
        <v>1.29</v>
      </c>
      <c r="WH8" s="146"/>
      <c r="WI8" s="141" t="s">
        <v>47</v>
      </c>
      <c r="WJ8" s="126"/>
      <c r="WK8" s="127"/>
      <c r="WL8" s="127"/>
      <c r="WM8" s="127"/>
      <c r="WN8" s="127">
        <v>53</v>
      </c>
      <c r="WO8" s="128"/>
      <c r="WP8" s="133"/>
      <c r="WQ8" s="134"/>
      <c r="WR8" s="134"/>
      <c r="WS8" s="131">
        <f t="shared" ref="WS8:WS30" si="58">+WJ8+WK8+WL8+WM8+WN8+WO8</f>
        <v>53</v>
      </c>
      <c r="WT8" s="132"/>
      <c r="WU8" s="127"/>
      <c r="WV8" s="127"/>
      <c r="WW8" s="127"/>
      <c r="WX8" s="127">
        <v>32</v>
      </c>
      <c r="WY8" s="128"/>
      <c r="WZ8" s="133"/>
      <c r="XA8" s="134"/>
      <c r="XB8" s="134"/>
      <c r="XC8" s="131">
        <f t="shared" ref="XC8:XC9" si="59">+WT8+WU8+WV8+WW8+WX8+WY8</f>
        <v>32</v>
      </c>
      <c r="XD8" s="132"/>
      <c r="XE8" s="127"/>
      <c r="XF8" s="127"/>
      <c r="XG8" s="127">
        <v>200</v>
      </c>
      <c r="XH8" s="127">
        <v>12</v>
      </c>
      <c r="XI8" s="128"/>
      <c r="XJ8" s="133"/>
      <c r="XK8" s="134"/>
      <c r="XL8" s="134"/>
      <c r="XM8" s="131">
        <f t="shared" ref="XM8:XM9" si="60">+XI8+XH8+XG8+XF8+XE8+XD8</f>
        <v>212</v>
      </c>
      <c r="XN8" s="132"/>
      <c r="XO8" s="127"/>
      <c r="XP8" s="127"/>
      <c r="XQ8" s="127">
        <v>199</v>
      </c>
      <c r="XR8" s="127">
        <v>2</v>
      </c>
      <c r="XS8" s="128"/>
      <c r="XT8" s="133"/>
      <c r="XU8" s="134"/>
      <c r="XV8" s="134"/>
      <c r="XW8" s="131">
        <f t="shared" ref="XW8:XW30" si="61">+XS8+XR8+XQ8+XP8+XO8+XN8</f>
        <v>201</v>
      </c>
      <c r="XX8" s="132"/>
      <c r="XY8" s="127"/>
      <c r="XZ8" s="127"/>
      <c r="YA8" s="127">
        <v>82</v>
      </c>
      <c r="YB8" s="135">
        <v>17</v>
      </c>
      <c r="YC8" s="128"/>
      <c r="YD8" s="133"/>
      <c r="YE8" s="134"/>
      <c r="YF8" s="134"/>
      <c r="YG8" s="131">
        <f t="shared" ref="YG8:YG30" si="62">+YC8+YB8+YA8+XZ8+XY8+XX8</f>
        <v>99</v>
      </c>
      <c r="YH8" s="147">
        <f>+WR8+XB8+XL8+XV8+YF8</f>
        <v>0</v>
      </c>
      <c r="YI8" s="148">
        <f>+WS8+XC8+XM8+XW8+YG8</f>
        <v>597</v>
      </c>
      <c r="YJ8" s="148">
        <v>597</v>
      </c>
      <c r="YK8" s="149">
        <f t="shared" ref="YK8:YK24" si="63">+YI8/YJ8</f>
        <v>1</v>
      </c>
      <c r="YL8" s="150"/>
      <c r="YM8" s="151"/>
      <c r="YN8" s="127"/>
      <c r="YO8" s="127"/>
      <c r="YP8" s="127"/>
      <c r="YQ8" s="127">
        <v>22</v>
      </c>
      <c r="YR8" s="128"/>
      <c r="YS8" s="133"/>
      <c r="YT8" s="134"/>
      <c r="YU8" s="134"/>
      <c r="YV8" s="131">
        <f t="shared" ref="YV8:YV9" si="64">+YM8+YN8+YO8+YP8+YQ8+YR8</f>
        <v>22</v>
      </c>
      <c r="YW8" s="132"/>
      <c r="YX8" s="127"/>
      <c r="YY8" s="127"/>
      <c r="YZ8" s="127"/>
      <c r="ZA8" s="127">
        <v>62</v>
      </c>
      <c r="ZB8" s="128"/>
      <c r="ZC8" s="133"/>
      <c r="ZD8" s="134"/>
      <c r="ZE8" s="134"/>
      <c r="ZF8" s="131">
        <f t="shared" ref="ZF8:ZF9" si="65">+YW8+YX8+YY8+YZ8+ZA8+ZB8</f>
        <v>62</v>
      </c>
      <c r="ZG8" s="132"/>
      <c r="ZH8" s="127"/>
      <c r="ZI8" s="127"/>
      <c r="ZJ8" s="127"/>
      <c r="ZK8" s="127">
        <v>47</v>
      </c>
      <c r="ZL8" s="128"/>
      <c r="ZM8" s="133"/>
      <c r="ZN8" s="134"/>
      <c r="ZO8" s="134"/>
      <c r="ZP8" s="131">
        <f t="shared" ref="ZP8:ZP9" si="66">+ZL8+ZK8+ZJ8+ZI8+ZH8+ZG8</f>
        <v>47</v>
      </c>
      <c r="ZQ8" s="132"/>
      <c r="ZR8" s="127"/>
      <c r="ZS8" s="127"/>
      <c r="ZT8" s="127"/>
      <c r="ZU8" s="127"/>
      <c r="ZV8" s="128"/>
      <c r="ZW8" s="133"/>
      <c r="ZX8" s="134"/>
      <c r="ZY8" s="134"/>
      <c r="ZZ8" s="131">
        <f t="shared" ref="ZZ8:ZZ30" si="67">+ZV8+ZU8+ZT8+ZS8+ZR8+ZQ8</f>
        <v>0</v>
      </c>
      <c r="AAA8" s="132"/>
      <c r="AAB8" s="127"/>
      <c r="AAC8" s="127"/>
      <c r="AAD8" s="127"/>
      <c r="AAE8" s="135"/>
      <c r="AAF8" s="128"/>
      <c r="AAG8" s="133"/>
      <c r="AAH8" s="134"/>
      <c r="AAI8" s="134"/>
      <c r="AAJ8" s="131">
        <f t="shared" ref="AAJ8:AAJ30" si="68">+AAF8+AAE8+AAD8+AAC8+AAB8+AAA8</f>
        <v>0</v>
      </c>
      <c r="AAK8" s="152">
        <f t="shared" ref="AAK8:AAK30" si="69">+YV8+ZF8+ZP8+ZZ8+AAJ8</f>
        <v>131</v>
      </c>
      <c r="AAL8" s="152">
        <v>200</v>
      </c>
      <c r="AAM8" s="153">
        <f t="shared" ref="AAM8:AAM29" si="70">+AAK8/AAL8</f>
        <v>0.65500000000000003</v>
      </c>
      <c r="AAN8" s="154" t="s">
        <v>47</v>
      </c>
      <c r="AAO8" s="126"/>
      <c r="AAP8" s="127"/>
      <c r="AAQ8" s="127"/>
      <c r="AAR8" s="127"/>
      <c r="AAS8" s="127"/>
      <c r="AAT8" s="128"/>
      <c r="AAU8" s="133"/>
      <c r="AAV8" s="134"/>
      <c r="AAW8" s="134"/>
      <c r="AAX8" s="155"/>
      <c r="AAY8" s="131">
        <f>+AAO8+AAP8+AAQ8+AAR8+AAS8+AAT8</f>
        <v>0</v>
      </c>
      <c r="AAZ8" s="132"/>
      <c r="ABA8" s="127"/>
      <c r="ABB8" s="127"/>
      <c r="ABC8" s="127"/>
      <c r="ABD8" s="127">
        <v>29</v>
      </c>
      <c r="ABE8" s="128"/>
      <c r="ABF8" s="133"/>
      <c r="ABG8" s="134"/>
      <c r="ABH8" s="134"/>
      <c r="ABI8" s="131">
        <f t="shared" ref="ABI8:ABI30" si="71">+AAZ8+ABA8+ABB8+ABC8+ABD8+ABE8</f>
        <v>29</v>
      </c>
      <c r="ABJ8" s="132"/>
      <c r="ABK8" s="127"/>
      <c r="ABL8" s="127"/>
      <c r="ABM8" s="127"/>
      <c r="ABN8" s="127">
        <v>44</v>
      </c>
      <c r="ABO8" s="128"/>
      <c r="ABP8" s="133"/>
      <c r="ABQ8" s="134"/>
      <c r="ABR8" s="134"/>
      <c r="ABS8" s="131">
        <f t="shared" ref="ABS8:ABS9" si="72">+ABO8+ABN8+ABM8+ABL8+ABK8+ABJ8</f>
        <v>44</v>
      </c>
      <c r="ABT8" s="132"/>
      <c r="ABU8" s="127"/>
      <c r="ABV8" s="127"/>
      <c r="ABW8" s="127"/>
      <c r="ABX8" s="127">
        <v>34</v>
      </c>
      <c r="ABY8" s="128"/>
      <c r="ABZ8" s="133"/>
      <c r="ACA8" s="134"/>
      <c r="ACB8" s="134"/>
      <c r="ACC8" s="131">
        <f t="shared" ref="ACC8:ACC30" si="73">+ABY8+ABX8+ABW8+ABV8+ABU8+ABT8</f>
        <v>34</v>
      </c>
      <c r="ACD8" s="132"/>
      <c r="ACE8" s="127"/>
      <c r="ACF8" s="127"/>
      <c r="ACG8" s="127"/>
      <c r="ACH8" s="135">
        <v>55</v>
      </c>
      <c r="ACI8" s="128"/>
      <c r="ACJ8" s="133"/>
      <c r="ACK8" s="134"/>
      <c r="ACL8" s="134"/>
      <c r="ACM8" s="131">
        <f t="shared" ref="ACM8:ACM30" si="74">+ACI8+ACH8+ACG8+ACF8+ACE8+ACD8</f>
        <v>55</v>
      </c>
      <c r="ACN8" s="156">
        <f t="shared" ref="ACN8:ACN30" si="75">+AAW8+ABH8+ABR8+ACB8+ACL8</f>
        <v>0</v>
      </c>
      <c r="ACO8" s="157"/>
      <c r="ACP8" s="158">
        <f>+AAY8+ABI8+ABS8+ACC8+ACM8</f>
        <v>162</v>
      </c>
      <c r="ACQ8" s="158">
        <v>200</v>
      </c>
      <c r="ACR8" s="159">
        <f>+ACP8/ACQ8</f>
        <v>0.81</v>
      </c>
      <c r="ACS8" s="160">
        <f t="shared" ref="ACS8:ACT30" si="76">+UA8+WE8+YI8+AAK8+ACP8</f>
        <v>1154</v>
      </c>
      <c r="ACT8" s="161">
        <f t="shared" si="76"/>
        <v>1347</v>
      </c>
      <c r="ACU8" s="162">
        <f>+ACS8/ACT8</f>
        <v>0.85671863400148474</v>
      </c>
      <c r="ACW8" s="163">
        <f>+(IZ8+RY8+ACU8)/3</f>
        <v>1.0096476460233357</v>
      </c>
      <c r="ACX8" s="5">
        <v>1</v>
      </c>
    </row>
    <row r="9" spans="1:778" s="95" customFormat="1" x14ac:dyDescent="0.35">
      <c r="A9" s="164" t="s">
        <v>46</v>
      </c>
      <c r="B9" s="165" t="s">
        <v>91</v>
      </c>
      <c r="C9" s="166"/>
      <c r="D9" s="167"/>
      <c r="E9" s="167"/>
      <c r="F9" s="167"/>
      <c r="G9" s="167">
        <v>21</v>
      </c>
      <c r="H9" s="168"/>
      <c r="I9" s="56"/>
      <c r="J9" s="57"/>
      <c r="K9" s="58">
        <f t="shared" si="0"/>
        <v>21</v>
      </c>
      <c r="L9" s="169">
        <v>40</v>
      </c>
      <c r="M9" s="167"/>
      <c r="N9" s="167"/>
      <c r="O9" s="167"/>
      <c r="P9" s="167"/>
      <c r="Q9" s="168"/>
      <c r="R9" s="56"/>
      <c r="S9" s="57"/>
      <c r="T9" s="58">
        <f t="shared" si="1"/>
        <v>40</v>
      </c>
      <c r="U9" s="62"/>
      <c r="V9" s="63"/>
      <c r="W9" s="63"/>
      <c r="X9" s="63"/>
      <c r="Y9" s="63"/>
      <c r="Z9" s="64"/>
      <c r="AA9" s="65"/>
      <c r="AB9" s="66"/>
      <c r="AC9" s="67">
        <f t="shared" si="2"/>
        <v>0</v>
      </c>
      <c r="AD9" s="169"/>
      <c r="AE9" s="167"/>
      <c r="AF9" s="167"/>
      <c r="AG9" s="167"/>
      <c r="AH9" s="167">
        <v>41</v>
      </c>
      <c r="AI9" s="168"/>
      <c r="AJ9" s="56"/>
      <c r="AK9" s="57"/>
      <c r="AL9" s="88">
        <f t="shared" si="3"/>
        <v>41</v>
      </c>
      <c r="AM9" s="169"/>
      <c r="AN9" s="167"/>
      <c r="AO9" s="167"/>
      <c r="AP9" s="167"/>
      <c r="AQ9" s="170">
        <v>35</v>
      </c>
      <c r="AR9" s="171"/>
      <c r="AS9" s="56"/>
      <c r="AT9" s="57"/>
      <c r="AU9" s="58">
        <f t="shared" si="4"/>
        <v>35</v>
      </c>
      <c r="AV9" s="81">
        <v>138</v>
      </c>
      <c r="AW9" s="82">
        <f t="shared" ref="AW9:AW30" si="77">+K9+T9+AC9+AL9+AU9</f>
        <v>137</v>
      </c>
      <c r="AX9" s="82">
        <v>200</v>
      </c>
      <c r="AY9" s="172">
        <f t="shared" si="5"/>
        <v>0.68500000000000005</v>
      </c>
      <c r="AZ9" s="84"/>
      <c r="BA9" s="166"/>
      <c r="BB9" s="167"/>
      <c r="BC9" s="167"/>
      <c r="BD9" s="167">
        <v>2</v>
      </c>
      <c r="BE9" s="167">
        <v>12</v>
      </c>
      <c r="BF9" s="168"/>
      <c r="BG9" s="56"/>
      <c r="BH9" s="57"/>
      <c r="BI9" s="86">
        <f t="shared" si="6"/>
        <v>14</v>
      </c>
      <c r="BJ9" s="173"/>
      <c r="BK9" s="167"/>
      <c r="BL9" s="167"/>
      <c r="BM9" s="167"/>
      <c r="BN9" s="167">
        <v>34</v>
      </c>
      <c r="BO9" s="168"/>
      <c r="BP9" s="56"/>
      <c r="BQ9" s="57"/>
      <c r="BR9" s="58">
        <f t="shared" si="7"/>
        <v>34</v>
      </c>
      <c r="BS9" s="169"/>
      <c r="BT9" s="167"/>
      <c r="BU9" s="167"/>
      <c r="BV9" s="167"/>
      <c r="BW9" s="167">
        <v>31</v>
      </c>
      <c r="BX9" s="168"/>
      <c r="BY9" s="56"/>
      <c r="BZ9" s="57"/>
      <c r="CA9" s="58">
        <f>+BS9+BT9+BU9+BV9+BW9+BX9</f>
        <v>31</v>
      </c>
      <c r="CB9" s="169"/>
      <c r="CC9" s="167"/>
      <c r="CD9" s="167"/>
      <c r="CE9" s="167"/>
      <c r="CF9" s="167">
        <v>30</v>
      </c>
      <c r="CG9" s="168"/>
      <c r="CH9" s="56"/>
      <c r="CI9" s="57"/>
      <c r="CJ9" s="174">
        <f>+CB9+CC9+CD9+CE9+CF9+CG9</f>
        <v>30</v>
      </c>
      <c r="CK9" s="169"/>
      <c r="CL9" s="167"/>
      <c r="CM9" s="167"/>
      <c r="CN9" s="167"/>
      <c r="CO9" s="170">
        <f>15+12+16</f>
        <v>43</v>
      </c>
      <c r="CP9" s="171"/>
      <c r="CQ9" s="56"/>
      <c r="CR9" s="57"/>
      <c r="CS9" s="91">
        <f t="shared" ref="CS9:CS30" si="78">+CP9+CO9+CN9+CM9+CL9+CK9</f>
        <v>43</v>
      </c>
      <c r="CT9" s="92">
        <v>154</v>
      </c>
      <c r="CU9" s="93">
        <f t="shared" ref="CU9:CU30" si="79">+BI9+BR9+CA9+CJ9+CS9</f>
        <v>152</v>
      </c>
      <c r="CV9" s="93">
        <v>250</v>
      </c>
      <c r="CW9" s="175">
        <f t="shared" si="8"/>
        <v>0.60799999999999998</v>
      </c>
      <c r="CY9" s="166"/>
      <c r="CZ9" s="167"/>
      <c r="DA9" s="167"/>
      <c r="DB9" s="167"/>
      <c r="DC9" s="167">
        <v>28</v>
      </c>
      <c r="DD9" s="168"/>
      <c r="DE9" s="56"/>
      <c r="DF9" s="57"/>
      <c r="DG9" s="58">
        <f t="shared" si="9"/>
        <v>28</v>
      </c>
      <c r="DH9" s="169"/>
      <c r="DI9" s="167"/>
      <c r="DJ9" s="167"/>
      <c r="DK9" s="167"/>
      <c r="DL9" s="167">
        <f>6+9+5+5+3</f>
        <v>28</v>
      </c>
      <c r="DM9" s="168"/>
      <c r="DN9" s="56"/>
      <c r="DO9" s="57"/>
      <c r="DP9" s="58">
        <f t="shared" si="10"/>
        <v>28</v>
      </c>
      <c r="DQ9" s="169"/>
      <c r="DR9" s="167"/>
      <c r="DS9" s="167"/>
      <c r="DT9" s="167"/>
      <c r="DU9" s="167">
        <v>50</v>
      </c>
      <c r="DV9" s="168"/>
      <c r="DW9" s="56"/>
      <c r="DX9" s="57"/>
      <c r="DY9" s="58">
        <f t="shared" ref="DY9:DY30" si="80">+DV9+DU9+DT9+DS9+DR9+DQ9</f>
        <v>50</v>
      </c>
      <c r="DZ9" s="169"/>
      <c r="EA9" s="167"/>
      <c r="EB9" s="167"/>
      <c r="EC9" s="167"/>
      <c r="ED9" s="167">
        <v>65</v>
      </c>
      <c r="EE9" s="168"/>
      <c r="EF9" s="56"/>
      <c r="EG9" s="57"/>
      <c r="EH9" s="96">
        <f t="shared" ref="EH9:EH30" si="81">+EE9+ED9+EC9+EB9+EA9+DZ9</f>
        <v>65</v>
      </c>
      <c r="EI9" s="176"/>
      <c r="EJ9" s="167"/>
      <c r="EK9" s="167"/>
      <c r="EL9" s="167"/>
      <c r="EM9" s="170">
        <v>30</v>
      </c>
      <c r="EN9" s="171"/>
      <c r="EO9" s="56"/>
      <c r="EP9" s="57"/>
      <c r="EQ9" s="98">
        <f t="shared" ref="EQ9:EQ30" si="82">+EN9+EM9+EL9+EK9+EJ9+EI9</f>
        <v>30</v>
      </c>
      <c r="ER9" s="99">
        <v>207</v>
      </c>
      <c r="ES9" s="100">
        <f>+DG9+DP9+DY9+EH9+EQ9</f>
        <v>201</v>
      </c>
      <c r="ET9" s="100">
        <v>250</v>
      </c>
      <c r="EU9" s="177">
        <f t="shared" si="11"/>
        <v>0.80400000000000005</v>
      </c>
      <c r="EW9" s="166"/>
      <c r="EX9" s="167"/>
      <c r="EY9" s="167"/>
      <c r="EZ9" s="167"/>
      <c r="FA9" s="167">
        <v>35</v>
      </c>
      <c r="FB9" s="168"/>
      <c r="FC9" s="56"/>
      <c r="FD9" s="57"/>
      <c r="FE9" s="58">
        <f t="shared" si="12"/>
        <v>35</v>
      </c>
      <c r="FF9" s="169"/>
      <c r="FG9" s="167"/>
      <c r="FH9" s="167"/>
      <c r="FI9" s="167"/>
      <c r="FJ9" s="167">
        <v>38</v>
      </c>
      <c r="FK9" s="168"/>
      <c r="FL9" s="56"/>
      <c r="FM9" s="57"/>
      <c r="FN9" s="58">
        <f t="shared" si="13"/>
        <v>38</v>
      </c>
      <c r="FO9" s="169"/>
      <c r="FP9" s="167"/>
      <c r="FQ9" s="167"/>
      <c r="FR9" s="167"/>
      <c r="FS9" s="167">
        <v>34</v>
      </c>
      <c r="FT9" s="168"/>
      <c r="FU9" s="56"/>
      <c r="FV9" s="57"/>
      <c r="FW9" s="58">
        <f t="shared" ref="FW9:FW30" si="83">+FT9+FS9+FR9+FQ9+FP9+FO9</f>
        <v>34</v>
      </c>
      <c r="FX9" s="169"/>
      <c r="FY9" s="167"/>
      <c r="FZ9" s="167"/>
      <c r="GA9" s="167"/>
      <c r="GB9" s="167">
        <v>40</v>
      </c>
      <c r="GC9" s="168"/>
      <c r="GD9" s="56"/>
      <c r="GE9" s="57"/>
      <c r="GF9" s="58">
        <f t="shared" ref="GF9:GF30" si="84">+GC9+GB9+GA9+FZ9+FY9+FX9</f>
        <v>40</v>
      </c>
      <c r="GG9" s="169"/>
      <c r="GH9" s="167"/>
      <c r="GI9" s="167"/>
      <c r="GJ9" s="167"/>
      <c r="GK9" s="170">
        <v>32</v>
      </c>
      <c r="GL9" s="171"/>
      <c r="GM9" s="56"/>
      <c r="GN9" s="57"/>
      <c r="GO9" s="58">
        <f t="shared" ref="GO9:GO30" si="85">+GL9+GK9+GJ9+GI9+GH9+GG9</f>
        <v>32</v>
      </c>
      <c r="GP9" s="103">
        <v>184</v>
      </c>
      <c r="GQ9" s="104">
        <f t="shared" ref="GQ9:GQ18" si="86">+FE9+FN9+FW9+GF9+GO9</f>
        <v>179</v>
      </c>
      <c r="GR9" s="104">
        <v>250</v>
      </c>
      <c r="GS9" s="178">
        <f t="shared" si="14"/>
        <v>0.71599999999999997</v>
      </c>
      <c r="GT9" s="166"/>
      <c r="GU9" s="167"/>
      <c r="GV9" s="167"/>
      <c r="GW9" s="167"/>
      <c r="GX9" s="167"/>
      <c r="GY9" s="168"/>
      <c r="GZ9" s="56"/>
      <c r="HA9" s="57"/>
      <c r="HB9" s="57"/>
      <c r="HC9" s="58">
        <f t="shared" si="15"/>
        <v>0</v>
      </c>
      <c r="HD9" s="169"/>
      <c r="HE9" s="167"/>
      <c r="HF9" s="167"/>
      <c r="HG9" s="167"/>
      <c r="HH9" s="167"/>
      <c r="HI9" s="168"/>
      <c r="HJ9" s="56"/>
      <c r="HK9" s="57"/>
      <c r="HL9" s="57"/>
      <c r="HM9" s="58">
        <f t="shared" si="16"/>
        <v>0</v>
      </c>
      <c r="HN9" s="59"/>
      <c r="HO9" s="60"/>
      <c r="HP9" s="60"/>
      <c r="HQ9" s="60"/>
      <c r="HR9" s="60"/>
      <c r="HS9" s="61"/>
      <c r="HT9" s="56"/>
      <c r="HU9" s="57"/>
      <c r="HV9" s="57"/>
      <c r="HW9" s="58">
        <f t="shared" si="17"/>
        <v>0</v>
      </c>
      <c r="HX9" s="59"/>
      <c r="HY9" s="60"/>
      <c r="HZ9" s="60"/>
      <c r="IA9" s="60"/>
      <c r="IB9" s="60"/>
      <c r="IC9" s="61"/>
      <c r="ID9" s="56"/>
      <c r="IE9" s="57"/>
      <c r="IF9" s="57"/>
      <c r="IG9" s="88">
        <f t="shared" si="18"/>
        <v>0</v>
      </c>
      <c r="IH9" s="59"/>
      <c r="II9" s="60"/>
      <c r="IJ9" s="60"/>
      <c r="IK9" s="60"/>
      <c r="IL9" s="89"/>
      <c r="IM9" s="90"/>
      <c r="IN9" s="56"/>
      <c r="IO9" s="57"/>
      <c r="IP9" s="57"/>
      <c r="IQ9" s="58">
        <f t="shared" si="19"/>
        <v>0</v>
      </c>
      <c r="IR9" s="106"/>
      <c r="IS9" s="107"/>
      <c r="IT9" s="107"/>
      <c r="IU9" s="179"/>
      <c r="IW9" s="109">
        <f t="shared" ref="IW9:IY30" si="87">+AV9+CT9+ER9+GP9</f>
        <v>683</v>
      </c>
      <c r="IX9" s="110">
        <f t="shared" si="87"/>
        <v>669</v>
      </c>
      <c r="IY9" s="110">
        <f t="shared" si="87"/>
        <v>950</v>
      </c>
      <c r="IZ9" s="180">
        <f t="shared" si="20"/>
        <v>0.70421052631578951</v>
      </c>
      <c r="JA9" s="181"/>
      <c r="JB9" s="182" t="s">
        <v>48</v>
      </c>
      <c r="JC9" s="183"/>
      <c r="JD9" s="184"/>
      <c r="JE9" s="184"/>
      <c r="JF9" s="184"/>
      <c r="JG9" s="184"/>
      <c r="JH9" s="185"/>
      <c r="JI9" s="186"/>
      <c r="JJ9" s="187"/>
      <c r="JK9" s="187"/>
      <c r="JL9" s="188">
        <f t="shared" si="21"/>
        <v>0</v>
      </c>
      <c r="JM9" s="189"/>
      <c r="JN9" s="184"/>
      <c r="JO9" s="184"/>
      <c r="JP9" s="184"/>
      <c r="JQ9" s="184">
        <v>13</v>
      </c>
      <c r="JR9" s="185"/>
      <c r="JS9" s="186"/>
      <c r="JT9" s="187">
        <v>11</v>
      </c>
      <c r="JU9" s="187"/>
      <c r="JV9" s="188">
        <f t="shared" si="22"/>
        <v>13</v>
      </c>
      <c r="JW9" s="189"/>
      <c r="JX9" s="184"/>
      <c r="JY9" s="184"/>
      <c r="JZ9" s="184"/>
      <c r="KA9" s="184">
        <v>16</v>
      </c>
      <c r="KB9" s="185"/>
      <c r="KC9" s="186"/>
      <c r="KD9" s="187">
        <v>2</v>
      </c>
      <c r="KE9" s="187"/>
      <c r="KF9" s="188">
        <f t="shared" si="23"/>
        <v>16</v>
      </c>
      <c r="KG9" s="189"/>
      <c r="KH9" s="184"/>
      <c r="KI9" s="184"/>
      <c r="KJ9" s="184"/>
      <c r="KK9" s="184">
        <v>7</v>
      </c>
      <c r="KL9" s="185"/>
      <c r="KM9" s="186"/>
      <c r="KN9" s="187">
        <v>13</v>
      </c>
      <c r="KO9" s="187"/>
      <c r="KP9" s="188">
        <f t="shared" si="24"/>
        <v>7</v>
      </c>
      <c r="KQ9" s="189"/>
      <c r="KR9" s="184"/>
      <c r="KS9" s="184"/>
      <c r="KT9" s="184"/>
      <c r="KU9" s="142">
        <v>19</v>
      </c>
      <c r="KV9" s="185"/>
      <c r="KW9" s="186"/>
      <c r="KX9" s="187">
        <v>6</v>
      </c>
      <c r="KY9" s="187">
        <v>6</v>
      </c>
      <c r="KZ9" s="188">
        <f t="shared" si="25"/>
        <v>19</v>
      </c>
      <c r="LA9" s="190">
        <f>+JK9+JU9+KE9+KO9+KY9</f>
        <v>6</v>
      </c>
      <c r="LB9" s="191">
        <f t="shared" si="26"/>
        <v>55</v>
      </c>
      <c r="LC9" s="191">
        <v>100</v>
      </c>
      <c r="LD9" s="191">
        <f t="shared" ref="LD9:LD29" si="88">+LB9-LC9</f>
        <v>-45</v>
      </c>
      <c r="LE9" s="192">
        <f t="shared" ref="LE9:LE29" si="89">+LB9/LC9</f>
        <v>0.55000000000000004</v>
      </c>
      <c r="LF9" s="193"/>
      <c r="LG9" s="194" t="s">
        <v>48</v>
      </c>
      <c r="LH9" s="183"/>
      <c r="LI9" s="184"/>
      <c r="LJ9" s="184"/>
      <c r="LK9" s="184"/>
      <c r="LL9" s="184">
        <v>35</v>
      </c>
      <c r="LM9" s="185"/>
      <c r="LN9" s="186"/>
      <c r="LO9" s="187"/>
      <c r="LP9" s="187"/>
      <c r="LQ9" s="188">
        <f t="shared" si="27"/>
        <v>35</v>
      </c>
      <c r="LR9" s="189"/>
      <c r="LS9" s="184"/>
      <c r="LT9" s="184"/>
      <c r="LU9" s="184"/>
      <c r="LV9" s="184">
        <v>36</v>
      </c>
      <c r="LW9" s="185"/>
      <c r="LX9" s="186"/>
      <c r="LY9" s="187"/>
      <c r="LZ9" s="187"/>
      <c r="MA9" s="188">
        <f t="shared" si="28"/>
        <v>36</v>
      </c>
      <c r="MB9" s="189"/>
      <c r="MC9" s="184"/>
      <c r="MD9" s="184"/>
      <c r="ME9" s="184"/>
      <c r="MF9" s="184">
        <v>15</v>
      </c>
      <c r="MG9" s="185"/>
      <c r="MH9" s="186"/>
      <c r="MI9" s="187"/>
      <c r="MJ9" s="187"/>
      <c r="MK9" s="188">
        <f t="shared" si="29"/>
        <v>15</v>
      </c>
      <c r="ML9" s="189"/>
      <c r="MM9" s="184"/>
      <c r="MN9" s="184"/>
      <c r="MO9" s="184"/>
      <c r="MP9" s="184">
        <v>27</v>
      </c>
      <c r="MQ9" s="185"/>
      <c r="MR9" s="186"/>
      <c r="MS9" s="187"/>
      <c r="MT9" s="187"/>
      <c r="MU9" s="188">
        <f t="shared" si="30"/>
        <v>27</v>
      </c>
      <c r="MV9" s="189"/>
      <c r="MW9" s="184"/>
      <c r="MX9" s="184"/>
      <c r="MY9" s="184"/>
      <c r="MZ9" s="142">
        <v>27</v>
      </c>
      <c r="NA9" s="185"/>
      <c r="NB9" s="186"/>
      <c r="NC9" s="187">
        <v>137</v>
      </c>
      <c r="ND9" s="187"/>
      <c r="NE9" s="188">
        <f t="shared" si="31"/>
        <v>27</v>
      </c>
      <c r="NF9" s="117">
        <f t="shared" ref="NF9:NF29" si="90">0+NC9</f>
        <v>137</v>
      </c>
      <c r="NG9" s="195">
        <f t="shared" si="32"/>
        <v>140</v>
      </c>
      <c r="NH9" s="195">
        <v>100</v>
      </c>
      <c r="NI9" s="195">
        <f t="shared" ref="NI9:NI29" si="91">+NG9-NH9</f>
        <v>40</v>
      </c>
      <c r="NJ9" s="196">
        <f>+NG9/NH9</f>
        <v>1.4</v>
      </c>
      <c r="NK9" s="193"/>
      <c r="NL9" s="194" t="s">
        <v>48</v>
      </c>
      <c r="NM9" s="183"/>
      <c r="NN9" s="184"/>
      <c r="NO9" s="184"/>
      <c r="NP9" s="184"/>
      <c r="NQ9" s="184">
        <v>34</v>
      </c>
      <c r="NR9" s="185"/>
      <c r="NS9" s="186"/>
      <c r="NT9" s="187"/>
      <c r="NU9" s="187"/>
      <c r="NV9" s="188">
        <f t="shared" si="33"/>
        <v>34</v>
      </c>
      <c r="NW9" s="189"/>
      <c r="NX9" s="184"/>
      <c r="NY9" s="184"/>
      <c r="NZ9" s="184"/>
      <c r="OA9" s="184">
        <v>39</v>
      </c>
      <c r="OB9" s="185"/>
      <c r="OC9" s="186"/>
      <c r="OD9" s="187"/>
      <c r="OE9" s="187"/>
      <c r="OF9" s="188">
        <f t="shared" si="34"/>
        <v>39</v>
      </c>
      <c r="OG9" s="189"/>
      <c r="OH9" s="184"/>
      <c r="OI9" s="184"/>
      <c r="OJ9" s="184"/>
      <c r="OK9" s="184">
        <v>32</v>
      </c>
      <c r="OL9" s="185"/>
      <c r="OM9" s="186"/>
      <c r="ON9" s="187"/>
      <c r="OO9" s="187"/>
      <c r="OP9" s="188">
        <f t="shared" si="35"/>
        <v>32</v>
      </c>
      <c r="OQ9" s="189"/>
      <c r="OR9" s="184"/>
      <c r="OS9" s="184"/>
      <c r="OT9" s="184"/>
      <c r="OU9" s="184">
        <v>12</v>
      </c>
      <c r="OV9" s="185"/>
      <c r="OW9" s="186"/>
      <c r="OX9" s="187"/>
      <c r="OY9" s="187"/>
      <c r="OZ9" s="188">
        <f t="shared" si="36"/>
        <v>12</v>
      </c>
      <c r="PA9" s="189"/>
      <c r="PB9" s="184"/>
      <c r="PC9" s="184"/>
      <c r="PD9" s="184"/>
      <c r="PE9" s="142">
        <v>20</v>
      </c>
      <c r="PF9" s="185"/>
      <c r="PG9" s="186"/>
      <c r="PH9" s="187"/>
      <c r="PI9" s="187"/>
      <c r="PJ9" s="188">
        <f t="shared" si="37"/>
        <v>20</v>
      </c>
      <c r="PK9" s="99">
        <f t="shared" si="38"/>
        <v>0</v>
      </c>
      <c r="PL9" s="197">
        <f t="shared" si="39"/>
        <v>137</v>
      </c>
      <c r="PM9" s="197">
        <v>100</v>
      </c>
      <c r="PN9" s="197">
        <f t="shared" ref="PN9:PN29" si="92">+PL9-PM9</f>
        <v>37</v>
      </c>
      <c r="PO9" s="198">
        <f>+PL9/PM9</f>
        <v>1.37</v>
      </c>
      <c r="PP9" s="193"/>
      <c r="PQ9" s="199" t="s">
        <v>48</v>
      </c>
      <c r="PR9" s="183"/>
      <c r="PS9" s="184"/>
      <c r="PT9" s="184"/>
      <c r="PU9" s="184"/>
      <c r="PV9" s="200">
        <v>22</v>
      </c>
      <c r="PW9" s="185"/>
      <c r="PX9" s="201"/>
      <c r="PY9" s="134"/>
      <c r="PZ9" s="134"/>
      <c r="QA9" s="188">
        <f t="shared" si="40"/>
        <v>22</v>
      </c>
      <c r="QB9" s="189"/>
      <c r="QC9" s="184"/>
      <c r="QD9" s="184"/>
      <c r="QE9" s="184"/>
      <c r="QF9" s="184">
        <v>14</v>
      </c>
      <c r="QG9" s="185"/>
      <c r="QH9" s="186"/>
      <c r="QI9" s="187"/>
      <c r="QJ9" s="187"/>
      <c r="QK9" s="188">
        <f t="shared" si="41"/>
        <v>14</v>
      </c>
      <c r="QL9" s="202"/>
      <c r="QM9" s="127"/>
      <c r="QN9" s="127"/>
      <c r="QO9" s="127"/>
      <c r="QP9" s="127">
        <v>30</v>
      </c>
      <c r="QQ9" s="128"/>
      <c r="QR9" s="203"/>
      <c r="QS9" s="134"/>
      <c r="QT9" s="134"/>
      <c r="QU9" s="204">
        <f t="shared" si="42"/>
        <v>30</v>
      </c>
      <c r="QV9" s="202"/>
      <c r="QW9" s="127"/>
      <c r="QX9" s="127"/>
      <c r="QY9" s="127"/>
      <c r="QZ9" s="127">
        <v>39</v>
      </c>
      <c r="RA9" s="128"/>
      <c r="RB9" s="203"/>
      <c r="RC9" s="134"/>
      <c r="RD9" s="134"/>
      <c r="RE9" s="204">
        <f t="shared" si="43"/>
        <v>39</v>
      </c>
      <c r="RF9" s="202"/>
      <c r="RG9" s="127"/>
      <c r="RH9" s="127"/>
      <c r="RI9" s="127"/>
      <c r="RJ9" s="135">
        <v>15</v>
      </c>
      <c r="RK9" s="128"/>
      <c r="RL9" s="203"/>
      <c r="RM9" s="134">
        <v>107</v>
      </c>
      <c r="RN9" s="134"/>
      <c r="RO9" s="204">
        <f t="shared" si="44"/>
        <v>15</v>
      </c>
      <c r="RP9" s="121">
        <f t="shared" ref="RP9:RP29" si="93">+RM9</f>
        <v>107</v>
      </c>
      <c r="RQ9" s="152">
        <f t="shared" si="45"/>
        <v>120</v>
      </c>
      <c r="RR9" s="152">
        <v>100</v>
      </c>
      <c r="RS9" s="152">
        <f t="shared" ref="RS9:RS29" si="94">+RQ9-RR9</f>
        <v>20</v>
      </c>
      <c r="RT9" s="205">
        <f>+RQ9/RR9</f>
        <v>1.2</v>
      </c>
      <c r="RU9" s="206"/>
      <c r="RV9" s="123">
        <f t="shared" ref="RV9:RX24" si="95">+LA9+NF9+PK9+RP9</f>
        <v>250</v>
      </c>
      <c r="RW9" s="207">
        <f t="shared" si="95"/>
        <v>452</v>
      </c>
      <c r="RX9" s="207">
        <f t="shared" si="95"/>
        <v>400</v>
      </c>
      <c r="RY9" s="208">
        <f t="shared" ref="RY9:RY29" si="96">+RW9/RX9</f>
        <v>1.1299999999999999</v>
      </c>
      <c r="SA9" s="165" t="s">
        <v>48</v>
      </c>
      <c r="SB9" s="126"/>
      <c r="SC9" s="127"/>
      <c r="SD9" s="127"/>
      <c r="SE9" s="127"/>
      <c r="SF9" s="127"/>
      <c r="SG9" s="128"/>
      <c r="SH9" s="133"/>
      <c r="SI9" s="134"/>
      <c r="SJ9" s="134"/>
      <c r="SK9" s="131">
        <f t="shared" si="46"/>
        <v>0</v>
      </c>
      <c r="SL9" s="132"/>
      <c r="SM9" s="127"/>
      <c r="SN9" s="127"/>
      <c r="SO9" s="127"/>
      <c r="SP9" s="127"/>
      <c r="SQ9" s="128"/>
      <c r="SR9" s="133"/>
      <c r="SS9" s="134"/>
      <c r="ST9" s="134"/>
      <c r="SU9" s="131">
        <f t="shared" si="47"/>
        <v>0</v>
      </c>
      <c r="SV9" s="132"/>
      <c r="SW9" s="127"/>
      <c r="SX9" s="127"/>
      <c r="SY9" s="127"/>
      <c r="SZ9" s="127">
        <v>11</v>
      </c>
      <c r="TA9" s="128"/>
      <c r="TB9" s="133"/>
      <c r="TC9" s="134"/>
      <c r="TD9" s="134"/>
      <c r="TE9" s="131">
        <f t="shared" si="48"/>
        <v>11</v>
      </c>
      <c r="TF9" s="132"/>
      <c r="TG9" s="127"/>
      <c r="TH9" s="127"/>
      <c r="TI9" s="127"/>
      <c r="TJ9" s="127">
        <v>17</v>
      </c>
      <c r="TK9" s="128"/>
      <c r="TL9" s="133"/>
      <c r="TM9" s="134"/>
      <c r="TN9" s="134"/>
      <c r="TO9" s="131">
        <f t="shared" si="49"/>
        <v>17</v>
      </c>
      <c r="TP9" s="132"/>
      <c r="TQ9" s="127"/>
      <c r="TR9" s="127"/>
      <c r="TS9" s="127"/>
      <c r="TT9" s="135">
        <v>16</v>
      </c>
      <c r="TU9" s="128"/>
      <c r="TV9" s="133"/>
      <c r="TW9" s="134"/>
      <c r="TX9" s="134"/>
      <c r="TY9" s="136">
        <f t="shared" si="50"/>
        <v>16</v>
      </c>
      <c r="TZ9" s="209">
        <f t="shared" ref="TZ9:UA24" si="97">+SJ9+ST9+TD9+TN9+TX9</f>
        <v>0</v>
      </c>
      <c r="UA9" s="210">
        <f t="shared" si="97"/>
        <v>44</v>
      </c>
      <c r="UB9" s="210">
        <v>100</v>
      </c>
      <c r="UC9" s="211">
        <f t="shared" si="51"/>
        <v>0.44</v>
      </c>
      <c r="UD9" s="140"/>
      <c r="UE9" s="212" t="s">
        <v>48</v>
      </c>
      <c r="UF9" s="213"/>
      <c r="UG9" s="184"/>
      <c r="UH9" s="184"/>
      <c r="UI9" s="184"/>
      <c r="UJ9" s="184">
        <v>13</v>
      </c>
      <c r="UK9" s="185"/>
      <c r="UL9" s="214"/>
      <c r="UM9" s="187"/>
      <c r="UN9" s="187"/>
      <c r="UO9" s="215">
        <f t="shared" si="52"/>
        <v>13</v>
      </c>
      <c r="UP9" s="183"/>
      <c r="UQ9" s="184"/>
      <c r="UR9" s="184"/>
      <c r="US9" s="184"/>
      <c r="UT9" s="184">
        <v>12</v>
      </c>
      <c r="UU9" s="185"/>
      <c r="UV9" s="214"/>
      <c r="UW9" s="187"/>
      <c r="UX9" s="187"/>
      <c r="UY9" s="215">
        <f t="shared" si="53"/>
        <v>12</v>
      </c>
      <c r="UZ9" s="183"/>
      <c r="VA9" s="184"/>
      <c r="VB9" s="184"/>
      <c r="VC9" s="184"/>
      <c r="VD9" s="184">
        <v>14</v>
      </c>
      <c r="VE9" s="185"/>
      <c r="VF9" s="214"/>
      <c r="VG9" s="187"/>
      <c r="VH9" s="187"/>
      <c r="VI9" s="215">
        <f t="shared" si="54"/>
        <v>14</v>
      </c>
      <c r="VJ9" s="183"/>
      <c r="VK9" s="184"/>
      <c r="VL9" s="184"/>
      <c r="VM9" s="184"/>
      <c r="VN9" s="184">
        <v>33</v>
      </c>
      <c r="VO9" s="185"/>
      <c r="VP9" s="214"/>
      <c r="VQ9" s="187"/>
      <c r="VR9" s="187"/>
      <c r="VS9" s="215">
        <f t="shared" si="55"/>
        <v>33</v>
      </c>
      <c r="VT9" s="183"/>
      <c r="VU9" s="184"/>
      <c r="VV9" s="184"/>
      <c r="VW9" s="184"/>
      <c r="VX9" s="142">
        <v>7</v>
      </c>
      <c r="VY9" s="185"/>
      <c r="VZ9" s="214"/>
      <c r="WA9" s="187"/>
      <c r="WB9" s="187"/>
      <c r="WC9" s="215">
        <f t="shared" si="56"/>
        <v>7</v>
      </c>
      <c r="WD9" s="216">
        <f t="shared" ref="WD9:WE24" si="98">+UN9+UX9+VH9+VR9+WB9</f>
        <v>0</v>
      </c>
      <c r="WE9" s="217">
        <f t="shared" si="98"/>
        <v>79</v>
      </c>
      <c r="WF9" s="217">
        <v>100</v>
      </c>
      <c r="WG9" s="218">
        <f t="shared" si="57"/>
        <v>0.79</v>
      </c>
      <c r="WH9" s="219"/>
      <c r="WI9" s="220" t="s">
        <v>48</v>
      </c>
      <c r="WJ9" s="126"/>
      <c r="WK9" s="127"/>
      <c r="WL9" s="127"/>
      <c r="WM9" s="127"/>
      <c r="WN9" s="127">
        <v>15</v>
      </c>
      <c r="WO9" s="128"/>
      <c r="WP9" s="133"/>
      <c r="WQ9" s="134"/>
      <c r="WR9" s="134"/>
      <c r="WS9" s="131">
        <f t="shared" si="58"/>
        <v>15</v>
      </c>
      <c r="WT9" s="132"/>
      <c r="WU9" s="127"/>
      <c r="WV9" s="127"/>
      <c r="WW9" s="127"/>
      <c r="WX9" s="127">
        <v>23</v>
      </c>
      <c r="WY9" s="128"/>
      <c r="WZ9" s="133"/>
      <c r="XA9" s="134"/>
      <c r="XB9" s="134"/>
      <c r="XC9" s="131">
        <f t="shared" si="59"/>
        <v>23</v>
      </c>
      <c r="XD9" s="132"/>
      <c r="XE9" s="127"/>
      <c r="XF9" s="127"/>
      <c r="XG9" s="127">
        <v>2</v>
      </c>
      <c r="XH9" s="127">
        <v>5</v>
      </c>
      <c r="XI9" s="128"/>
      <c r="XJ9" s="133"/>
      <c r="XK9" s="134"/>
      <c r="XL9" s="134"/>
      <c r="XM9" s="131">
        <f t="shared" si="60"/>
        <v>7</v>
      </c>
      <c r="XN9" s="132"/>
      <c r="XO9" s="127"/>
      <c r="XP9" s="127"/>
      <c r="XQ9" s="127"/>
      <c r="XR9" s="127">
        <v>32</v>
      </c>
      <c r="XS9" s="128"/>
      <c r="XT9" s="133"/>
      <c r="XU9" s="134"/>
      <c r="XV9" s="134"/>
      <c r="XW9" s="131">
        <f t="shared" si="61"/>
        <v>32</v>
      </c>
      <c r="XX9" s="132"/>
      <c r="XY9" s="127"/>
      <c r="XZ9" s="127"/>
      <c r="YA9" s="127">
        <v>38</v>
      </c>
      <c r="YB9" s="135"/>
      <c r="YC9" s="128"/>
      <c r="YD9" s="133"/>
      <c r="YE9" s="134"/>
      <c r="YF9" s="134"/>
      <c r="YG9" s="131">
        <f t="shared" si="62"/>
        <v>38</v>
      </c>
      <c r="YH9" s="221">
        <f t="shared" ref="YH9:YI24" si="99">+WR9+XB9+XL9+XV9+YF9</f>
        <v>0</v>
      </c>
      <c r="YI9" s="148">
        <f t="shared" si="99"/>
        <v>115</v>
      </c>
      <c r="YJ9" s="222">
        <v>100</v>
      </c>
      <c r="YK9" s="223">
        <f t="shared" si="63"/>
        <v>1.1499999999999999</v>
      </c>
      <c r="YL9" s="224"/>
      <c r="YM9" s="225"/>
      <c r="YN9" s="184"/>
      <c r="YO9" s="184"/>
      <c r="YP9" s="184">
        <v>38</v>
      </c>
      <c r="YQ9" s="184"/>
      <c r="YR9" s="185"/>
      <c r="YS9" s="214"/>
      <c r="YT9" s="187"/>
      <c r="YU9" s="187"/>
      <c r="YV9" s="131">
        <f t="shared" si="64"/>
        <v>38</v>
      </c>
      <c r="YW9" s="132"/>
      <c r="YX9" s="127"/>
      <c r="YY9" s="127"/>
      <c r="YZ9" s="127"/>
      <c r="ZA9" s="127">
        <v>10</v>
      </c>
      <c r="ZB9" s="128"/>
      <c r="ZC9" s="133"/>
      <c r="ZD9" s="134"/>
      <c r="ZE9" s="134"/>
      <c r="ZF9" s="131">
        <f t="shared" si="65"/>
        <v>10</v>
      </c>
      <c r="ZG9" s="132"/>
      <c r="ZH9" s="127"/>
      <c r="ZI9" s="127"/>
      <c r="ZJ9" s="127"/>
      <c r="ZK9" s="127">
        <v>13</v>
      </c>
      <c r="ZL9" s="128"/>
      <c r="ZM9" s="133"/>
      <c r="ZN9" s="134"/>
      <c r="ZO9" s="134"/>
      <c r="ZP9" s="131">
        <f t="shared" si="66"/>
        <v>13</v>
      </c>
      <c r="ZQ9" s="132"/>
      <c r="ZR9" s="127"/>
      <c r="ZS9" s="127"/>
      <c r="ZT9" s="127"/>
      <c r="ZU9" s="127">
        <v>16</v>
      </c>
      <c r="ZV9" s="128"/>
      <c r="ZW9" s="133"/>
      <c r="ZX9" s="134"/>
      <c r="ZY9" s="134"/>
      <c r="ZZ9" s="131">
        <f t="shared" si="67"/>
        <v>16</v>
      </c>
      <c r="AAA9" s="132"/>
      <c r="AAB9" s="127"/>
      <c r="AAC9" s="127"/>
      <c r="AAD9" s="127"/>
      <c r="AAE9" s="135">
        <v>15</v>
      </c>
      <c r="AAF9" s="128"/>
      <c r="AAG9" s="133"/>
      <c r="AAH9" s="134"/>
      <c r="AAI9" s="134"/>
      <c r="AAJ9" s="131">
        <f t="shared" si="68"/>
        <v>15</v>
      </c>
      <c r="AAK9" s="226">
        <f t="shared" si="69"/>
        <v>92</v>
      </c>
      <c r="AAL9" s="226">
        <v>100</v>
      </c>
      <c r="AAM9" s="227">
        <f t="shared" si="70"/>
        <v>0.92</v>
      </c>
      <c r="AAN9" s="228" t="s">
        <v>48</v>
      </c>
      <c r="AAO9" s="126"/>
      <c r="AAP9" s="127"/>
      <c r="AAQ9" s="127"/>
      <c r="AAR9" s="127"/>
      <c r="AAS9" s="127"/>
      <c r="AAT9" s="128"/>
      <c r="AAU9" s="133"/>
      <c r="AAV9" s="134"/>
      <c r="AAW9" s="134"/>
      <c r="AAX9" s="155"/>
      <c r="AAY9" s="131">
        <f>+AAO9+AAP9+AAQ9+AAR9+AAS9+AAT9</f>
        <v>0</v>
      </c>
      <c r="AAZ9" s="132"/>
      <c r="ABA9" s="127"/>
      <c r="ABB9" s="127"/>
      <c r="ABC9" s="127"/>
      <c r="ABD9" s="127">
        <v>16</v>
      </c>
      <c r="ABE9" s="128"/>
      <c r="ABF9" s="133"/>
      <c r="ABG9" s="134"/>
      <c r="ABH9" s="134"/>
      <c r="ABI9" s="131">
        <f t="shared" si="71"/>
        <v>16</v>
      </c>
      <c r="ABJ9" s="132"/>
      <c r="ABK9" s="127"/>
      <c r="ABL9" s="127"/>
      <c r="ABM9" s="127"/>
      <c r="ABN9" s="127">
        <v>11</v>
      </c>
      <c r="ABO9" s="128"/>
      <c r="ABP9" s="133"/>
      <c r="ABQ9" s="134"/>
      <c r="ABR9" s="134"/>
      <c r="ABS9" s="131">
        <f t="shared" si="72"/>
        <v>11</v>
      </c>
      <c r="ABT9" s="132"/>
      <c r="ABU9" s="127"/>
      <c r="ABV9" s="127"/>
      <c r="ABW9" s="127"/>
      <c r="ABX9" s="127">
        <v>9</v>
      </c>
      <c r="ABY9" s="128"/>
      <c r="ABZ9" s="133"/>
      <c r="ACA9" s="134"/>
      <c r="ACB9" s="134"/>
      <c r="ACC9" s="131">
        <f t="shared" si="73"/>
        <v>9</v>
      </c>
      <c r="ACD9" s="132"/>
      <c r="ACE9" s="127"/>
      <c r="ACF9" s="127"/>
      <c r="ACG9" s="127"/>
      <c r="ACH9" s="135">
        <v>19</v>
      </c>
      <c r="ACI9" s="128"/>
      <c r="ACJ9" s="133"/>
      <c r="ACK9" s="134">
        <v>16</v>
      </c>
      <c r="ACL9" s="134"/>
      <c r="ACM9" s="131">
        <f t="shared" si="74"/>
        <v>19</v>
      </c>
      <c r="ACN9" s="156">
        <f t="shared" si="75"/>
        <v>0</v>
      </c>
      <c r="ACO9" s="157"/>
      <c r="ACP9" s="229">
        <f t="shared" ref="ACP9:ACP30" si="100">+AAY9+ABI9+ABS9+ACC9+ACM9</f>
        <v>55</v>
      </c>
      <c r="ACQ9" s="229">
        <v>75</v>
      </c>
      <c r="ACR9" s="230">
        <f t="shared" ref="ACR9:ACR29" si="101">+ACP9/ACQ9</f>
        <v>0.73333333333333328</v>
      </c>
      <c r="ACS9" s="231">
        <f t="shared" si="76"/>
        <v>385</v>
      </c>
      <c r="ACT9" s="207">
        <f t="shared" si="76"/>
        <v>475</v>
      </c>
      <c r="ACU9" s="208">
        <f t="shared" ref="ACU9:ACU29" si="102">+ACS9/ACT9</f>
        <v>0.81052631578947365</v>
      </c>
      <c r="ACW9" s="163">
        <f t="shared" ref="ACW9:ACW31" si="103">+(IZ9+RY9+ACU9)/3</f>
        <v>0.88157894736842091</v>
      </c>
      <c r="ACX9" s="232">
        <v>3</v>
      </c>
    </row>
    <row r="10" spans="1:778" s="95" customFormat="1" x14ac:dyDescent="0.35">
      <c r="A10" s="164"/>
      <c r="B10" s="165" t="s">
        <v>91</v>
      </c>
      <c r="C10" s="234"/>
      <c r="D10" s="235"/>
      <c r="E10" s="235"/>
      <c r="F10" s="235"/>
      <c r="G10" s="235"/>
      <c r="H10" s="236"/>
      <c r="I10" s="237"/>
      <c r="J10" s="238"/>
      <c r="K10" s="239">
        <f t="shared" si="0"/>
        <v>0</v>
      </c>
      <c r="L10" s="240"/>
      <c r="M10" s="235"/>
      <c r="N10" s="235"/>
      <c r="O10" s="235"/>
      <c r="P10" s="235"/>
      <c r="Q10" s="236"/>
      <c r="R10" s="237"/>
      <c r="S10" s="238"/>
      <c r="T10" s="239">
        <f t="shared" si="1"/>
        <v>0</v>
      </c>
      <c r="U10" s="240"/>
      <c r="V10" s="235"/>
      <c r="W10" s="235"/>
      <c r="X10" s="235"/>
      <c r="Y10" s="235"/>
      <c r="Z10" s="236"/>
      <c r="AA10" s="237"/>
      <c r="AB10" s="238"/>
      <c r="AC10" s="239">
        <f t="shared" si="2"/>
        <v>0</v>
      </c>
      <c r="AD10" s="240"/>
      <c r="AE10" s="235"/>
      <c r="AF10" s="235"/>
      <c r="AG10" s="235"/>
      <c r="AH10" s="235"/>
      <c r="AI10" s="236"/>
      <c r="AJ10" s="237"/>
      <c r="AK10" s="238"/>
      <c r="AL10" s="241">
        <f t="shared" si="3"/>
        <v>0</v>
      </c>
      <c r="AM10" s="240"/>
      <c r="AN10" s="235"/>
      <c r="AO10" s="235"/>
      <c r="AP10" s="235"/>
      <c r="AQ10" s="242"/>
      <c r="AR10" s="243"/>
      <c r="AS10" s="237"/>
      <c r="AT10" s="238"/>
      <c r="AU10" s="239">
        <f t="shared" si="4"/>
        <v>0</v>
      </c>
      <c r="AV10" s="244">
        <v>0</v>
      </c>
      <c r="AW10" s="245">
        <f t="shared" si="77"/>
        <v>0</v>
      </c>
      <c r="AX10" s="245">
        <v>0</v>
      </c>
      <c r="AY10" s="246">
        <v>0</v>
      </c>
      <c r="AZ10" s="247"/>
      <c r="BA10" s="234"/>
      <c r="BB10" s="235"/>
      <c r="BC10" s="235"/>
      <c r="BD10" s="235"/>
      <c r="BE10" s="235"/>
      <c r="BF10" s="236"/>
      <c r="BG10" s="237"/>
      <c r="BH10" s="238"/>
      <c r="BI10" s="248">
        <f t="shared" si="6"/>
        <v>0</v>
      </c>
      <c r="BJ10" s="249"/>
      <c r="BK10" s="235"/>
      <c r="BL10" s="235"/>
      <c r="BM10" s="235"/>
      <c r="BN10" s="235"/>
      <c r="BO10" s="236"/>
      <c r="BP10" s="237"/>
      <c r="BQ10" s="238"/>
      <c r="BR10" s="239">
        <f t="shared" si="7"/>
        <v>0</v>
      </c>
      <c r="BS10" s="240"/>
      <c r="BT10" s="235"/>
      <c r="BU10" s="235"/>
      <c r="BV10" s="235"/>
      <c r="BW10" s="235"/>
      <c r="BX10" s="236"/>
      <c r="BY10" s="237"/>
      <c r="BZ10" s="238"/>
      <c r="CA10" s="239"/>
      <c r="CB10" s="240"/>
      <c r="CC10" s="235"/>
      <c r="CD10" s="235"/>
      <c r="CE10" s="235"/>
      <c r="CF10" s="235"/>
      <c r="CG10" s="236"/>
      <c r="CH10" s="237"/>
      <c r="CI10" s="238"/>
      <c r="CJ10" s="250"/>
      <c r="CK10" s="240"/>
      <c r="CL10" s="235"/>
      <c r="CM10" s="235"/>
      <c r="CN10" s="235"/>
      <c r="CO10" s="242"/>
      <c r="CP10" s="243"/>
      <c r="CQ10" s="237"/>
      <c r="CR10" s="238"/>
      <c r="CS10" s="251">
        <f t="shared" si="78"/>
        <v>0</v>
      </c>
      <c r="CT10" s="244">
        <v>0</v>
      </c>
      <c r="CU10" s="245">
        <f t="shared" si="79"/>
        <v>0</v>
      </c>
      <c r="CV10" s="245">
        <v>0</v>
      </c>
      <c r="CW10" s="252">
        <v>0</v>
      </c>
      <c r="CX10" s="253"/>
      <c r="CY10" s="234"/>
      <c r="CZ10" s="235"/>
      <c r="DA10" s="235"/>
      <c r="DB10" s="235"/>
      <c r="DC10" s="235"/>
      <c r="DD10" s="236"/>
      <c r="DE10" s="237"/>
      <c r="DF10" s="238"/>
      <c r="DG10" s="239">
        <f t="shared" si="9"/>
        <v>0</v>
      </c>
      <c r="DH10" s="240"/>
      <c r="DI10" s="235"/>
      <c r="DJ10" s="235"/>
      <c r="DK10" s="235"/>
      <c r="DL10" s="235"/>
      <c r="DM10" s="236"/>
      <c r="DN10" s="237"/>
      <c r="DO10" s="238"/>
      <c r="DP10" s="239">
        <f t="shared" si="10"/>
        <v>0</v>
      </c>
      <c r="DQ10" s="240"/>
      <c r="DR10" s="235"/>
      <c r="DS10" s="235"/>
      <c r="DT10" s="235"/>
      <c r="DU10" s="235"/>
      <c r="DV10" s="236"/>
      <c r="DW10" s="237"/>
      <c r="DX10" s="238"/>
      <c r="DY10" s="239">
        <f t="shared" si="80"/>
        <v>0</v>
      </c>
      <c r="DZ10" s="240"/>
      <c r="EA10" s="235"/>
      <c r="EB10" s="235"/>
      <c r="EC10" s="235"/>
      <c r="ED10" s="235"/>
      <c r="EE10" s="236"/>
      <c r="EF10" s="237"/>
      <c r="EG10" s="238"/>
      <c r="EH10" s="254">
        <f t="shared" si="81"/>
        <v>0</v>
      </c>
      <c r="EI10" s="255"/>
      <c r="EJ10" s="235"/>
      <c r="EK10" s="235"/>
      <c r="EL10" s="235"/>
      <c r="EM10" s="242"/>
      <c r="EN10" s="243"/>
      <c r="EO10" s="237"/>
      <c r="EP10" s="238"/>
      <c r="EQ10" s="256">
        <f t="shared" si="82"/>
        <v>0</v>
      </c>
      <c r="ER10" s="244">
        <v>0</v>
      </c>
      <c r="ES10" s="245">
        <f>+DG10+DP10+DY10+EH10+EQ10</f>
        <v>0</v>
      </c>
      <c r="ET10" s="245">
        <v>0</v>
      </c>
      <c r="EU10" s="252">
        <v>0</v>
      </c>
      <c r="EV10" s="253"/>
      <c r="EW10" s="234"/>
      <c r="EX10" s="235"/>
      <c r="EY10" s="235"/>
      <c r="EZ10" s="235"/>
      <c r="FA10" s="235"/>
      <c r="FB10" s="236"/>
      <c r="FC10" s="237"/>
      <c r="FD10" s="238"/>
      <c r="FE10" s="239">
        <f t="shared" si="12"/>
        <v>0</v>
      </c>
      <c r="FF10" s="240"/>
      <c r="FG10" s="235"/>
      <c r="FH10" s="235"/>
      <c r="FI10" s="235"/>
      <c r="FJ10" s="235"/>
      <c r="FK10" s="236"/>
      <c r="FL10" s="237"/>
      <c r="FM10" s="238"/>
      <c r="FN10" s="239">
        <f t="shared" si="13"/>
        <v>0</v>
      </c>
      <c r="FO10" s="240"/>
      <c r="FP10" s="235"/>
      <c r="FQ10" s="235"/>
      <c r="FR10" s="235"/>
      <c r="FS10" s="235"/>
      <c r="FT10" s="236"/>
      <c r="FU10" s="237"/>
      <c r="FV10" s="238"/>
      <c r="FW10" s="239">
        <f t="shared" si="83"/>
        <v>0</v>
      </c>
      <c r="FX10" s="240"/>
      <c r="FY10" s="235"/>
      <c r="FZ10" s="235"/>
      <c r="GA10" s="235"/>
      <c r="GB10" s="235"/>
      <c r="GC10" s="236"/>
      <c r="GD10" s="237"/>
      <c r="GE10" s="238"/>
      <c r="GF10" s="239">
        <f t="shared" si="84"/>
        <v>0</v>
      </c>
      <c r="GG10" s="240"/>
      <c r="GH10" s="235"/>
      <c r="GI10" s="235"/>
      <c r="GJ10" s="235"/>
      <c r="GK10" s="242"/>
      <c r="GL10" s="243"/>
      <c r="GM10" s="237"/>
      <c r="GN10" s="238"/>
      <c r="GO10" s="239">
        <f t="shared" si="85"/>
        <v>0</v>
      </c>
      <c r="GP10" s="244">
        <v>0</v>
      </c>
      <c r="GQ10" s="245">
        <f t="shared" si="86"/>
        <v>0</v>
      </c>
      <c r="GR10" s="245">
        <v>0</v>
      </c>
      <c r="GS10" s="246">
        <v>0</v>
      </c>
      <c r="GT10" s="234"/>
      <c r="GU10" s="235"/>
      <c r="GV10" s="235"/>
      <c r="GW10" s="235"/>
      <c r="GX10" s="235"/>
      <c r="GY10" s="236"/>
      <c r="GZ10" s="237"/>
      <c r="HA10" s="238"/>
      <c r="HB10" s="238"/>
      <c r="HC10" s="239">
        <f t="shared" si="15"/>
        <v>0</v>
      </c>
      <c r="HD10" s="240"/>
      <c r="HE10" s="235"/>
      <c r="HF10" s="235"/>
      <c r="HG10" s="235"/>
      <c r="HH10" s="235"/>
      <c r="HI10" s="236"/>
      <c r="HJ10" s="237"/>
      <c r="HK10" s="238"/>
      <c r="HL10" s="238"/>
      <c r="HM10" s="239">
        <f t="shared" si="16"/>
        <v>0</v>
      </c>
      <c r="HN10" s="240"/>
      <c r="HO10" s="235"/>
      <c r="HP10" s="235"/>
      <c r="HQ10" s="235"/>
      <c r="HR10" s="235"/>
      <c r="HS10" s="236"/>
      <c r="HT10" s="237"/>
      <c r="HU10" s="238"/>
      <c r="HV10" s="238"/>
      <c r="HW10" s="239">
        <f t="shared" si="17"/>
        <v>0</v>
      </c>
      <c r="HX10" s="240"/>
      <c r="HY10" s="235"/>
      <c r="HZ10" s="235"/>
      <c r="IA10" s="235"/>
      <c r="IB10" s="235"/>
      <c r="IC10" s="236"/>
      <c r="ID10" s="237"/>
      <c r="IE10" s="238"/>
      <c r="IF10" s="238"/>
      <c r="IG10" s="241">
        <f t="shared" si="18"/>
        <v>0</v>
      </c>
      <c r="IH10" s="240"/>
      <c r="II10" s="235"/>
      <c r="IJ10" s="235"/>
      <c r="IK10" s="235"/>
      <c r="IL10" s="242"/>
      <c r="IM10" s="243"/>
      <c r="IN10" s="237"/>
      <c r="IO10" s="238"/>
      <c r="IP10" s="238"/>
      <c r="IQ10" s="239">
        <f t="shared" si="19"/>
        <v>0</v>
      </c>
      <c r="IR10" s="244"/>
      <c r="IS10" s="245"/>
      <c r="IT10" s="245"/>
      <c r="IU10" s="246"/>
      <c r="IV10" s="253"/>
      <c r="IW10" s="257">
        <v>0</v>
      </c>
      <c r="IX10" s="258">
        <f t="shared" si="87"/>
        <v>0</v>
      </c>
      <c r="IY10" s="258">
        <v>0</v>
      </c>
      <c r="IZ10" s="259">
        <v>0</v>
      </c>
      <c r="JA10" s="260"/>
      <c r="JB10" s="233" t="s">
        <v>49</v>
      </c>
      <c r="JC10" s="261"/>
      <c r="JD10" s="262"/>
      <c r="JE10" s="262"/>
      <c r="JF10" s="262"/>
      <c r="JG10" s="262"/>
      <c r="JH10" s="263"/>
      <c r="JI10" s="264"/>
      <c r="JJ10" s="265"/>
      <c r="JK10" s="265"/>
      <c r="JL10" s="266"/>
      <c r="JM10" s="267"/>
      <c r="JN10" s="262"/>
      <c r="JO10" s="262"/>
      <c r="JP10" s="262"/>
      <c r="JQ10" s="262"/>
      <c r="JR10" s="263"/>
      <c r="JS10" s="264"/>
      <c r="JT10" s="265"/>
      <c r="JU10" s="265"/>
      <c r="JV10" s="266"/>
      <c r="JW10" s="267"/>
      <c r="JX10" s="262"/>
      <c r="JY10" s="262"/>
      <c r="JZ10" s="262"/>
      <c r="KA10" s="262"/>
      <c r="KB10" s="263"/>
      <c r="KC10" s="264"/>
      <c r="KD10" s="265"/>
      <c r="KE10" s="265"/>
      <c r="KF10" s="266"/>
      <c r="KG10" s="267"/>
      <c r="KH10" s="262"/>
      <c r="KI10" s="262"/>
      <c r="KJ10" s="262"/>
      <c r="KK10" s="262"/>
      <c r="KL10" s="263"/>
      <c r="KM10" s="264"/>
      <c r="KN10" s="265"/>
      <c r="KO10" s="265"/>
      <c r="KP10" s="266"/>
      <c r="KQ10" s="267"/>
      <c r="KR10" s="262"/>
      <c r="KS10" s="262"/>
      <c r="KT10" s="262"/>
      <c r="KU10" s="268"/>
      <c r="KV10" s="263"/>
      <c r="KW10" s="264"/>
      <c r="KX10" s="265"/>
      <c r="KY10" s="265"/>
      <c r="KZ10" s="266"/>
      <c r="LA10" s="269"/>
      <c r="LB10" s="262"/>
      <c r="LC10" s="262"/>
      <c r="LD10" s="262"/>
      <c r="LE10" s="270"/>
      <c r="LF10" s="271"/>
      <c r="LG10" s="272"/>
      <c r="LH10" s="261"/>
      <c r="LI10" s="262"/>
      <c r="LJ10" s="262"/>
      <c r="LK10" s="262"/>
      <c r="LL10" s="262"/>
      <c r="LM10" s="263"/>
      <c r="LN10" s="264"/>
      <c r="LO10" s="265"/>
      <c r="LP10" s="265"/>
      <c r="LQ10" s="266"/>
      <c r="LR10" s="267"/>
      <c r="LS10" s="262"/>
      <c r="LT10" s="262"/>
      <c r="LU10" s="262"/>
      <c r="LV10" s="262"/>
      <c r="LW10" s="263"/>
      <c r="LX10" s="264"/>
      <c r="LY10" s="265"/>
      <c r="LZ10" s="265"/>
      <c r="MA10" s="266"/>
      <c r="MB10" s="267"/>
      <c r="MC10" s="262"/>
      <c r="MD10" s="262"/>
      <c r="ME10" s="262"/>
      <c r="MF10" s="262"/>
      <c r="MG10" s="263"/>
      <c r="MH10" s="264"/>
      <c r="MI10" s="265"/>
      <c r="MJ10" s="265"/>
      <c r="MK10" s="266"/>
      <c r="ML10" s="267"/>
      <c r="MM10" s="262"/>
      <c r="MN10" s="262"/>
      <c r="MO10" s="262"/>
      <c r="MP10" s="262"/>
      <c r="MQ10" s="263"/>
      <c r="MR10" s="264"/>
      <c r="MS10" s="265"/>
      <c r="MT10" s="265"/>
      <c r="MU10" s="266"/>
      <c r="MV10" s="267"/>
      <c r="MW10" s="262"/>
      <c r="MX10" s="262"/>
      <c r="MY10" s="262"/>
      <c r="MZ10" s="268"/>
      <c r="NA10" s="263"/>
      <c r="NB10" s="264"/>
      <c r="NC10" s="265"/>
      <c r="ND10" s="265"/>
      <c r="NE10" s="266"/>
      <c r="NF10" s="257"/>
      <c r="NG10" s="262"/>
      <c r="NH10" s="262"/>
      <c r="NI10" s="262"/>
      <c r="NJ10" s="273"/>
      <c r="NK10" s="271"/>
      <c r="NL10" s="272"/>
      <c r="NM10" s="261"/>
      <c r="NN10" s="262"/>
      <c r="NO10" s="262"/>
      <c r="NP10" s="262"/>
      <c r="NQ10" s="262"/>
      <c r="NR10" s="263"/>
      <c r="NS10" s="264"/>
      <c r="NT10" s="265"/>
      <c r="NU10" s="265"/>
      <c r="NV10" s="266"/>
      <c r="NW10" s="267"/>
      <c r="NX10" s="262"/>
      <c r="NY10" s="262"/>
      <c r="NZ10" s="262"/>
      <c r="OA10" s="262"/>
      <c r="OB10" s="263"/>
      <c r="OC10" s="264"/>
      <c r="OD10" s="265"/>
      <c r="OE10" s="265"/>
      <c r="OF10" s="266"/>
      <c r="OG10" s="267"/>
      <c r="OH10" s="262"/>
      <c r="OI10" s="262"/>
      <c r="OJ10" s="262"/>
      <c r="OK10" s="262"/>
      <c r="OL10" s="263"/>
      <c r="OM10" s="264"/>
      <c r="ON10" s="265"/>
      <c r="OO10" s="265"/>
      <c r="OP10" s="266"/>
      <c r="OQ10" s="267"/>
      <c r="OR10" s="262"/>
      <c r="OS10" s="262"/>
      <c r="OT10" s="262"/>
      <c r="OU10" s="262"/>
      <c r="OV10" s="263"/>
      <c r="OW10" s="264"/>
      <c r="OX10" s="265"/>
      <c r="OY10" s="265"/>
      <c r="OZ10" s="266"/>
      <c r="PA10" s="267"/>
      <c r="PB10" s="262"/>
      <c r="PC10" s="262"/>
      <c r="PD10" s="262"/>
      <c r="PE10" s="268"/>
      <c r="PF10" s="263"/>
      <c r="PG10" s="264"/>
      <c r="PH10" s="265"/>
      <c r="PI10" s="265"/>
      <c r="PJ10" s="266"/>
      <c r="PK10" s="244"/>
      <c r="PL10" s="262"/>
      <c r="PM10" s="262"/>
      <c r="PN10" s="262"/>
      <c r="PO10" s="270"/>
      <c r="PP10" s="271"/>
      <c r="PQ10" s="274"/>
      <c r="PR10" s="261"/>
      <c r="PS10" s="262"/>
      <c r="PT10" s="262"/>
      <c r="PU10" s="262"/>
      <c r="PV10" s="275"/>
      <c r="PW10" s="263"/>
      <c r="PX10" s="276"/>
      <c r="PY10" s="277"/>
      <c r="PZ10" s="277"/>
      <c r="QA10" s="266"/>
      <c r="QB10" s="267"/>
      <c r="QC10" s="262"/>
      <c r="QD10" s="262"/>
      <c r="QE10" s="262"/>
      <c r="QF10" s="262"/>
      <c r="QG10" s="263"/>
      <c r="QH10" s="264"/>
      <c r="QI10" s="265"/>
      <c r="QJ10" s="265"/>
      <c r="QK10" s="266"/>
      <c r="QL10" s="278"/>
      <c r="QM10" s="279"/>
      <c r="QN10" s="279"/>
      <c r="QO10" s="279"/>
      <c r="QP10" s="279"/>
      <c r="QQ10" s="280"/>
      <c r="QR10" s="281"/>
      <c r="QS10" s="277"/>
      <c r="QT10" s="277"/>
      <c r="QU10" s="282"/>
      <c r="QV10" s="278"/>
      <c r="QW10" s="279"/>
      <c r="QX10" s="279"/>
      <c r="QY10" s="279"/>
      <c r="QZ10" s="279"/>
      <c r="RA10" s="280"/>
      <c r="RB10" s="281"/>
      <c r="RC10" s="277"/>
      <c r="RD10" s="277"/>
      <c r="RE10" s="282"/>
      <c r="RF10" s="278"/>
      <c r="RG10" s="279"/>
      <c r="RH10" s="279"/>
      <c r="RI10" s="279"/>
      <c r="RJ10" s="283"/>
      <c r="RK10" s="280"/>
      <c r="RL10" s="281"/>
      <c r="RM10" s="277"/>
      <c r="RN10" s="277"/>
      <c r="RO10" s="282"/>
      <c r="RP10" s="257"/>
      <c r="RQ10" s="279"/>
      <c r="RR10" s="279"/>
      <c r="RS10" s="279"/>
      <c r="RT10" s="284"/>
      <c r="RU10" s="285"/>
      <c r="RV10" s="286">
        <v>0</v>
      </c>
      <c r="RW10" s="275">
        <f t="shared" si="95"/>
        <v>0</v>
      </c>
      <c r="RX10" s="275">
        <f t="shared" si="95"/>
        <v>0</v>
      </c>
      <c r="RY10" s="287">
        <v>0</v>
      </c>
      <c r="RZ10" s="253"/>
      <c r="SA10" s="233" t="s">
        <v>49</v>
      </c>
      <c r="SB10" s="288"/>
      <c r="SC10" s="279"/>
      <c r="SD10" s="279"/>
      <c r="SE10" s="279"/>
      <c r="SF10" s="279">
        <v>33</v>
      </c>
      <c r="SG10" s="280"/>
      <c r="SH10" s="289"/>
      <c r="SI10" s="277"/>
      <c r="SJ10" s="277"/>
      <c r="SK10" s="290">
        <f>+SB10+SC10+SD10+SE10+SF10+SG10</f>
        <v>33</v>
      </c>
      <c r="SL10" s="291"/>
      <c r="SM10" s="279"/>
      <c r="SN10" s="279"/>
      <c r="SO10" s="279"/>
      <c r="SP10" s="279">
        <v>31</v>
      </c>
      <c r="SQ10" s="280"/>
      <c r="SR10" s="289"/>
      <c r="SS10" s="277"/>
      <c r="ST10" s="277"/>
      <c r="SU10" s="290">
        <f>+SL10+SM10+SN10+SO10+SP10+SQ10</f>
        <v>31</v>
      </c>
      <c r="SV10" s="291"/>
      <c r="SW10" s="279"/>
      <c r="SX10" s="279"/>
      <c r="SY10" s="279"/>
      <c r="SZ10" s="279">
        <v>28</v>
      </c>
      <c r="TA10" s="280"/>
      <c r="TB10" s="289"/>
      <c r="TC10" s="277"/>
      <c r="TD10" s="277"/>
      <c r="TE10" s="290">
        <f>+TA10+SZ10+SY10+SX10+SW10+SV10</f>
        <v>28</v>
      </c>
      <c r="TF10" s="291"/>
      <c r="TG10" s="279"/>
      <c r="TH10" s="279"/>
      <c r="TI10" s="279"/>
      <c r="TJ10" s="279">
        <v>21</v>
      </c>
      <c r="TK10" s="280"/>
      <c r="TL10" s="289"/>
      <c r="TM10" s="277"/>
      <c r="TN10" s="277"/>
      <c r="TO10" s="290">
        <f t="shared" si="49"/>
        <v>21</v>
      </c>
      <c r="TP10" s="291"/>
      <c r="TQ10" s="279"/>
      <c r="TR10" s="279"/>
      <c r="TS10" s="279">
        <v>123</v>
      </c>
      <c r="TT10" s="275"/>
      <c r="TU10" s="280"/>
      <c r="TV10" s="289"/>
      <c r="TW10" s="277"/>
      <c r="TX10" s="277"/>
      <c r="TY10" s="292">
        <f t="shared" si="50"/>
        <v>123</v>
      </c>
      <c r="TZ10" s="293">
        <f t="shared" si="97"/>
        <v>0</v>
      </c>
      <c r="UA10" s="275">
        <f t="shared" si="97"/>
        <v>236</v>
      </c>
      <c r="UB10" s="275">
        <v>250</v>
      </c>
      <c r="UC10" s="294">
        <f t="shared" si="51"/>
        <v>0.94399999999999995</v>
      </c>
      <c r="UD10" s="295"/>
      <c r="UE10" s="296" t="s">
        <v>49</v>
      </c>
      <c r="UF10" s="288"/>
      <c r="UG10" s="279"/>
      <c r="UH10" s="279"/>
      <c r="UI10" s="279">
        <v>134</v>
      </c>
      <c r="UJ10" s="279"/>
      <c r="UK10" s="280"/>
      <c r="UL10" s="289"/>
      <c r="UM10" s="277"/>
      <c r="UN10" s="277"/>
      <c r="UO10" s="290">
        <f>+UF10+UG10+UH10+UI10+UJ10+UK10</f>
        <v>134</v>
      </c>
      <c r="UP10" s="291"/>
      <c r="UQ10" s="279"/>
      <c r="UR10" s="279"/>
      <c r="US10" s="279">
        <v>122</v>
      </c>
      <c r="UT10" s="279"/>
      <c r="UU10" s="280"/>
      <c r="UV10" s="289"/>
      <c r="UW10" s="277"/>
      <c r="UX10" s="277"/>
      <c r="UY10" s="290">
        <f>+UP10+UQ10+UR10+US10+UT10+UU10</f>
        <v>122</v>
      </c>
      <c r="UZ10" s="291">
        <v>16</v>
      </c>
      <c r="VA10" s="279"/>
      <c r="VB10" s="279"/>
      <c r="VC10" s="279">
        <v>99</v>
      </c>
      <c r="VD10" s="279"/>
      <c r="VE10" s="280"/>
      <c r="VF10" s="289"/>
      <c r="VG10" s="277"/>
      <c r="VH10" s="277"/>
      <c r="VI10" s="290">
        <f>+VE10+VD10+VC10+VB10+VA10+UZ10</f>
        <v>115</v>
      </c>
      <c r="VJ10" s="291"/>
      <c r="VK10" s="279"/>
      <c r="VL10" s="279"/>
      <c r="VM10" s="279">
        <v>48</v>
      </c>
      <c r="VN10" s="279">
        <v>13</v>
      </c>
      <c r="VO10" s="280"/>
      <c r="VP10" s="289"/>
      <c r="VQ10" s="277"/>
      <c r="VR10" s="277"/>
      <c r="VS10" s="290">
        <f t="shared" si="55"/>
        <v>61</v>
      </c>
      <c r="VT10" s="291"/>
      <c r="VU10" s="279"/>
      <c r="VV10" s="279"/>
      <c r="VW10" s="279"/>
      <c r="VX10" s="275">
        <v>185</v>
      </c>
      <c r="VY10" s="280"/>
      <c r="VZ10" s="289"/>
      <c r="WA10" s="277"/>
      <c r="WB10" s="277"/>
      <c r="WC10" s="290">
        <f t="shared" si="56"/>
        <v>185</v>
      </c>
      <c r="WD10" s="297">
        <f t="shared" si="98"/>
        <v>0</v>
      </c>
      <c r="WE10" s="275">
        <f t="shared" si="98"/>
        <v>617</v>
      </c>
      <c r="WF10" s="275">
        <v>250</v>
      </c>
      <c r="WG10" s="287">
        <f t="shared" si="57"/>
        <v>2.468</v>
      </c>
      <c r="WH10" s="298"/>
      <c r="WI10" s="296" t="s">
        <v>49</v>
      </c>
      <c r="WJ10" s="288"/>
      <c r="WK10" s="279"/>
      <c r="WL10" s="279"/>
      <c r="WM10" s="299">
        <v>290</v>
      </c>
      <c r="WN10" s="279"/>
      <c r="WO10" s="280"/>
      <c r="WP10" s="289"/>
      <c r="WQ10" s="277"/>
      <c r="WR10" s="277"/>
      <c r="WS10" s="290">
        <f t="shared" si="58"/>
        <v>290</v>
      </c>
      <c r="WT10" s="291"/>
      <c r="WU10" s="279"/>
      <c r="WV10" s="279"/>
      <c r="WW10" s="279">
        <v>264</v>
      </c>
      <c r="WX10" s="279">
        <v>12</v>
      </c>
      <c r="WY10" s="280"/>
      <c r="WZ10" s="289"/>
      <c r="XA10" s="277"/>
      <c r="XB10" s="277"/>
      <c r="XC10" s="290">
        <f>+WT10+WU10+WV10+WW10+WX10+WY10</f>
        <v>276</v>
      </c>
      <c r="XD10" s="291"/>
      <c r="XE10" s="279"/>
      <c r="XF10" s="279"/>
      <c r="XG10" s="279"/>
      <c r="XH10" s="279">
        <v>24</v>
      </c>
      <c r="XI10" s="280"/>
      <c r="XJ10" s="289"/>
      <c r="XK10" s="277"/>
      <c r="XL10" s="277"/>
      <c r="XM10" s="290">
        <f>+XI10+XH10+XG10+XF10+XE10+XD10</f>
        <v>24</v>
      </c>
      <c r="XN10" s="291"/>
      <c r="XO10" s="279"/>
      <c r="XP10" s="279"/>
      <c r="XQ10" s="279"/>
      <c r="XR10" s="279">
        <v>31</v>
      </c>
      <c r="XS10" s="280"/>
      <c r="XT10" s="289"/>
      <c r="XU10" s="277"/>
      <c r="XV10" s="277"/>
      <c r="XW10" s="290">
        <f t="shared" si="61"/>
        <v>31</v>
      </c>
      <c r="XX10" s="291"/>
      <c r="XY10" s="279"/>
      <c r="XZ10" s="279"/>
      <c r="YA10" s="279">
        <v>12</v>
      </c>
      <c r="YB10" s="275">
        <v>49</v>
      </c>
      <c r="YC10" s="280"/>
      <c r="YD10" s="289"/>
      <c r="YE10" s="277"/>
      <c r="YF10" s="277"/>
      <c r="YG10" s="290">
        <f t="shared" si="62"/>
        <v>61</v>
      </c>
      <c r="YH10" s="297">
        <f t="shared" si="99"/>
        <v>0</v>
      </c>
      <c r="YI10" s="279">
        <f t="shared" si="99"/>
        <v>682</v>
      </c>
      <c r="YJ10" s="275">
        <v>682</v>
      </c>
      <c r="YK10" s="300">
        <f t="shared" si="63"/>
        <v>1</v>
      </c>
      <c r="YL10" s="301"/>
      <c r="YM10" s="302"/>
      <c r="YN10" s="279"/>
      <c r="YO10" s="279"/>
      <c r="YP10" s="279">
        <v>38</v>
      </c>
      <c r="YQ10" s="279">
        <v>8</v>
      </c>
      <c r="YR10" s="280"/>
      <c r="YS10" s="289"/>
      <c r="YT10" s="277"/>
      <c r="YU10" s="277"/>
      <c r="YV10" s="290">
        <f>+YM10+YN10+YO10+YP10+YQ10+YR10</f>
        <v>46</v>
      </c>
      <c r="YW10" s="291"/>
      <c r="YX10" s="279"/>
      <c r="YY10" s="279"/>
      <c r="YZ10" s="279">
        <v>24</v>
      </c>
      <c r="ZA10" s="279">
        <v>3</v>
      </c>
      <c r="ZB10" s="280"/>
      <c r="ZC10" s="289"/>
      <c r="ZD10" s="277"/>
      <c r="ZE10" s="277"/>
      <c r="ZF10" s="290">
        <f>+YW10+YX10+YY10+YZ10+ZA10+ZB10</f>
        <v>27</v>
      </c>
      <c r="ZG10" s="291"/>
      <c r="ZH10" s="279"/>
      <c r="ZI10" s="279"/>
      <c r="ZJ10" s="279"/>
      <c r="ZK10" s="279"/>
      <c r="ZL10" s="280"/>
      <c r="ZM10" s="289"/>
      <c r="ZN10" s="277"/>
      <c r="ZO10" s="277"/>
      <c r="ZP10" s="290">
        <f>+ZL10+ZK10+ZJ10+ZI10+ZH10+ZG10</f>
        <v>0</v>
      </c>
      <c r="ZQ10" s="291"/>
      <c r="ZR10" s="279"/>
      <c r="ZS10" s="279"/>
      <c r="ZT10" s="279"/>
      <c r="ZU10" s="279"/>
      <c r="ZV10" s="280"/>
      <c r="ZW10" s="289"/>
      <c r="ZX10" s="277"/>
      <c r="ZY10" s="277"/>
      <c r="ZZ10" s="290">
        <f t="shared" si="67"/>
        <v>0</v>
      </c>
      <c r="AAA10" s="291"/>
      <c r="AAB10" s="279"/>
      <c r="AAC10" s="279"/>
      <c r="AAD10" s="279"/>
      <c r="AAE10" s="275"/>
      <c r="AAF10" s="280"/>
      <c r="AAG10" s="289"/>
      <c r="AAH10" s="277"/>
      <c r="AAI10" s="277"/>
      <c r="AAJ10" s="290">
        <f t="shared" si="68"/>
        <v>0</v>
      </c>
      <c r="AAK10" s="275">
        <f t="shared" si="69"/>
        <v>73</v>
      </c>
      <c r="AAL10" s="275">
        <v>73</v>
      </c>
      <c r="AAM10" s="287">
        <f t="shared" si="70"/>
        <v>1</v>
      </c>
      <c r="AAN10" s="303" t="s">
        <v>49</v>
      </c>
      <c r="AAO10" s="288"/>
      <c r="AAP10" s="279"/>
      <c r="AAQ10" s="279"/>
      <c r="AAR10" s="279"/>
      <c r="AAS10" s="279"/>
      <c r="AAT10" s="280"/>
      <c r="AAU10" s="289"/>
      <c r="AAV10" s="277"/>
      <c r="AAW10" s="277"/>
      <c r="AAX10" s="304"/>
      <c r="AAY10" s="290">
        <f t="shared" ref="AAY10:AAY11" si="104">+AAO10+AAP10+AAQ10+AAR10+AAS10+AAT10</f>
        <v>0</v>
      </c>
      <c r="AAZ10" s="291"/>
      <c r="ABA10" s="279"/>
      <c r="ABB10" s="279"/>
      <c r="ABC10" s="279">
        <v>14</v>
      </c>
      <c r="ABD10" s="279">
        <v>15</v>
      </c>
      <c r="ABE10" s="280"/>
      <c r="ABF10" s="289"/>
      <c r="ABG10" s="277"/>
      <c r="ABH10" s="277"/>
      <c r="ABI10" s="290">
        <f t="shared" si="71"/>
        <v>29</v>
      </c>
      <c r="ABJ10" s="291"/>
      <c r="ABK10" s="279"/>
      <c r="ABL10" s="279"/>
      <c r="ABM10" s="279">
        <v>105</v>
      </c>
      <c r="ABN10" s="279"/>
      <c r="ABO10" s="280"/>
      <c r="ABP10" s="289"/>
      <c r="ABQ10" s="277"/>
      <c r="ABR10" s="277"/>
      <c r="ABS10" s="290">
        <f>+ABO10+ABN10+ABM10+ABL10+ABK10+ABJ10</f>
        <v>105</v>
      </c>
      <c r="ABT10" s="291"/>
      <c r="ABU10" s="279"/>
      <c r="ABV10" s="279"/>
      <c r="ABW10" s="279">
        <v>70</v>
      </c>
      <c r="ABX10" s="279"/>
      <c r="ABY10" s="280"/>
      <c r="ABZ10" s="289"/>
      <c r="ACA10" s="277"/>
      <c r="ACB10" s="277"/>
      <c r="ACC10" s="290">
        <f t="shared" si="73"/>
        <v>70</v>
      </c>
      <c r="ACD10" s="291"/>
      <c r="ACE10" s="279"/>
      <c r="ACF10" s="279"/>
      <c r="ACG10" s="279"/>
      <c r="ACH10" s="275"/>
      <c r="ACI10" s="280"/>
      <c r="ACJ10" s="289"/>
      <c r="ACK10" s="277"/>
      <c r="ACL10" s="277"/>
      <c r="ACM10" s="290">
        <f t="shared" si="74"/>
        <v>0</v>
      </c>
      <c r="ACN10" s="297">
        <f t="shared" si="75"/>
        <v>0</v>
      </c>
      <c r="ACO10" s="305"/>
      <c r="ACP10" s="275">
        <f t="shared" si="100"/>
        <v>204</v>
      </c>
      <c r="ACQ10" s="275">
        <v>150</v>
      </c>
      <c r="ACR10" s="294">
        <f t="shared" si="101"/>
        <v>1.36</v>
      </c>
      <c r="ACS10" s="297">
        <f t="shared" si="76"/>
        <v>1812</v>
      </c>
      <c r="ACT10" s="275">
        <f t="shared" si="76"/>
        <v>1405</v>
      </c>
      <c r="ACU10" s="287">
        <f t="shared" si="102"/>
        <v>1.289679715302491</v>
      </c>
      <c r="ACV10" s="253"/>
      <c r="ACW10" s="260">
        <f t="shared" si="103"/>
        <v>0.42989323843416366</v>
      </c>
      <c r="ACX10" s="306" t="s">
        <v>50</v>
      </c>
    </row>
    <row r="11" spans="1:778" s="102" customFormat="1" x14ac:dyDescent="0.35">
      <c r="A11" s="51" t="s">
        <v>46</v>
      </c>
      <c r="B11" s="165" t="s">
        <v>91</v>
      </c>
      <c r="C11" s="307"/>
      <c r="D11" s="308"/>
      <c r="E11" s="308"/>
      <c r="F11" s="308">
        <v>44</v>
      </c>
      <c r="G11" s="308"/>
      <c r="H11" s="309"/>
      <c r="I11" s="310"/>
      <c r="J11" s="57"/>
      <c r="K11" s="58">
        <f t="shared" si="0"/>
        <v>44</v>
      </c>
      <c r="L11" s="311"/>
      <c r="M11" s="312"/>
      <c r="N11" s="312"/>
      <c r="O11" s="312">
        <v>24</v>
      </c>
      <c r="P11" s="312"/>
      <c r="Q11" s="313"/>
      <c r="R11" s="56"/>
      <c r="S11" s="57"/>
      <c r="T11" s="58">
        <f t="shared" si="1"/>
        <v>24</v>
      </c>
      <c r="U11" s="314"/>
      <c r="V11" s="315"/>
      <c r="W11" s="315"/>
      <c r="X11" s="315"/>
      <c r="Y11" s="315"/>
      <c r="Z11" s="316"/>
      <c r="AA11" s="317"/>
      <c r="AB11" s="66"/>
      <c r="AC11" s="67">
        <f t="shared" si="2"/>
        <v>0</v>
      </c>
      <c r="AD11" s="59"/>
      <c r="AE11" s="60"/>
      <c r="AF11" s="60"/>
      <c r="AG11" s="60">
        <v>42</v>
      </c>
      <c r="AH11" s="60">
        <v>1</v>
      </c>
      <c r="AI11" s="61"/>
      <c r="AJ11" s="56"/>
      <c r="AK11" s="57"/>
      <c r="AL11" s="88">
        <f t="shared" si="3"/>
        <v>43</v>
      </c>
      <c r="AM11" s="202"/>
      <c r="AN11" s="127"/>
      <c r="AO11" s="127"/>
      <c r="AP11" s="127">
        <v>35</v>
      </c>
      <c r="AQ11" s="200"/>
      <c r="AR11" s="128"/>
      <c r="AS11" s="56"/>
      <c r="AT11" s="57"/>
      <c r="AU11" s="58">
        <f t="shared" si="4"/>
        <v>35</v>
      </c>
      <c r="AV11" s="81">
        <v>74</v>
      </c>
      <c r="AW11" s="82">
        <f t="shared" si="77"/>
        <v>146</v>
      </c>
      <c r="AX11" s="82">
        <v>200</v>
      </c>
      <c r="AY11" s="172">
        <f t="shared" si="5"/>
        <v>0.73</v>
      </c>
      <c r="AZ11" s="84"/>
      <c r="BA11" s="307"/>
      <c r="BB11" s="308"/>
      <c r="BC11" s="308"/>
      <c r="BD11" s="308">
        <v>13</v>
      </c>
      <c r="BE11" s="308"/>
      <c r="BF11" s="309"/>
      <c r="BG11" s="310"/>
      <c r="BH11" s="57"/>
      <c r="BI11" s="86">
        <f t="shared" si="6"/>
        <v>13</v>
      </c>
      <c r="BJ11" s="318"/>
      <c r="BK11" s="308"/>
      <c r="BL11" s="308"/>
      <c r="BM11" s="308">
        <v>31</v>
      </c>
      <c r="BN11" s="308"/>
      <c r="BO11" s="309"/>
      <c r="BP11" s="310"/>
      <c r="BQ11" s="57"/>
      <c r="BR11" s="58">
        <f t="shared" si="7"/>
        <v>31</v>
      </c>
      <c r="BS11" s="319"/>
      <c r="BT11" s="308"/>
      <c r="BU11" s="308"/>
      <c r="BV11" s="308">
        <v>15</v>
      </c>
      <c r="BW11" s="308"/>
      <c r="BX11" s="309"/>
      <c r="BY11" s="310"/>
      <c r="BZ11" s="57"/>
      <c r="CA11" s="58">
        <f t="shared" ref="CA11:CA27" si="105">+BX11+BW11+BV11+BU11+BT11+BS11</f>
        <v>15</v>
      </c>
      <c r="CB11" s="59"/>
      <c r="CC11" s="60"/>
      <c r="CD11" s="60"/>
      <c r="CE11" s="60">
        <v>35</v>
      </c>
      <c r="CF11" s="60"/>
      <c r="CG11" s="61"/>
      <c r="CH11" s="56"/>
      <c r="CI11" s="57"/>
      <c r="CJ11" s="88">
        <f t="shared" ref="CJ11:CJ27" si="106">+CG11+CF11+CE11+CD11+CC11+CB11</f>
        <v>35</v>
      </c>
      <c r="CK11" s="202"/>
      <c r="CL11" s="127"/>
      <c r="CM11" s="127"/>
      <c r="CN11" s="127">
        <v>30</v>
      </c>
      <c r="CO11" s="200"/>
      <c r="CP11" s="128"/>
      <c r="CQ11" s="56"/>
      <c r="CR11" s="57"/>
      <c r="CS11" s="91">
        <f t="shared" si="78"/>
        <v>30</v>
      </c>
      <c r="CT11" s="92">
        <v>2</v>
      </c>
      <c r="CU11" s="93">
        <f t="shared" si="79"/>
        <v>124</v>
      </c>
      <c r="CV11" s="93">
        <v>250</v>
      </c>
      <c r="CW11" s="175">
        <f t="shared" si="8"/>
        <v>0.496</v>
      </c>
      <c r="CX11" s="95"/>
      <c r="CY11" s="307"/>
      <c r="CZ11" s="308"/>
      <c r="DA11" s="308"/>
      <c r="DB11" s="308">
        <v>30</v>
      </c>
      <c r="DC11" s="308"/>
      <c r="DD11" s="309"/>
      <c r="DE11" s="310"/>
      <c r="DF11" s="57"/>
      <c r="DG11" s="58">
        <f t="shared" si="9"/>
        <v>30</v>
      </c>
      <c r="DH11" s="319"/>
      <c r="DI11" s="308"/>
      <c r="DJ11" s="308"/>
      <c r="DK11" s="308">
        <v>53</v>
      </c>
      <c r="DL11" s="308"/>
      <c r="DM11" s="309"/>
      <c r="DN11" s="310"/>
      <c r="DO11" s="57"/>
      <c r="DP11" s="58">
        <f t="shared" si="10"/>
        <v>53</v>
      </c>
      <c r="DQ11" s="319"/>
      <c r="DR11" s="308"/>
      <c r="DS11" s="308"/>
      <c r="DT11" s="308">
        <v>39</v>
      </c>
      <c r="DU11" s="308"/>
      <c r="DV11" s="309"/>
      <c r="DW11" s="310"/>
      <c r="DX11" s="57"/>
      <c r="DY11" s="58">
        <f t="shared" si="80"/>
        <v>39</v>
      </c>
      <c r="DZ11" s="59"/>
      <c r="EA11" s="60"/>
      <c r="EB11" s="60"/>
      <c r="EC11" s="60">
        <v>21</v>
      </c>
      <c r="ED11" s="60"/>
      <c r="EE11" s="61"/>
      <c r="EF11" s="56"/>
      <c r="EG11" s="57"/>
      <c r="EH11" s="96">
        <f t="shared" si="81"/>
        <v>21</v>
      </c>
      <c r="EI11" s="320"/>
      <c r="EJ11" s="75"/>
      <c r="EK11" s="75"/>
      <c r="EL11" s="75"/>
      <c r="EM11" s="217"/>
      <c r="EN11" s="77"/>
      <c r="EO11" s="71"/>
      <c r="EP11" s="72"/>
      <c r="EQ11" s="98">
        <f t="shared" si="82"/>
        <v>0</v>
      </c>
      <c r="ER11" s="99">
        <v>37</v>
      </c>
      <c r="ES11" s="100">
        <f>+DG11+DP11+DY11+EH11+EQ11</f>
        <v>143</v>
      </c>
      <c r="ET11" s="100">
        <v>200</v>
      </c>
      <c r="EU11" s="177">
        <f t="shared" si="11"/>
        <v>0.71499999999999997</v>
      </c>
      <c r="EV11" s="95"/>
      <c r="EW11" s="307"/>
      <c r="EX11" s="308"/>
      <c r="EY11" s="308"/>
      <c r="EZ11" s="308">
        <v>24</v>
      </c>
      <c r="FA11" s="308"/>
      <c r="FB11" s="309"/>
      <c r="FC11" s="310"/>
      <c r="FD11" s="57"/>
      <c r="FE11" s="58">
        <f t="shared" si="12"/>
        <v>24</v>
      </c>
      <c r="FF11" s="319"/>
      <c r="FG11" s="308"/>
      <c r="FH11" s="308"/>
      <c r="FI11" s="308">
        <v>31</v>
      </c>
      <c r="FJ11" s="308"/>
      <c r="FK11" s="309"/>
      <c r="FL11" s="310"/>
      <c r="FM11" s="57"/>
      <c r="FN11" s="58">
        <f t="shared" si="13"/>
        <v>31</v>
      </c>
      <c r="FO11" s="319">
        <v>11</v>
      </c>
      <c r="FP11" s="308"/>
      <c r="FQ11" s="308"/>
      <c r="FR11" s="308"/>
      <c r="FS11" s="308"/>
      <c r="FT11" s="309"/>
      <c r="FU11" s="310"/>
      <c r="FV11" s="57"/>
      <c r="FW11" s="58">
        <f t="shared" si="83"/>
        <v>11</v>
      </c>
      <c r="FX11" s="59"/>
      <c r="FY11" s="60"/>
      <c r="FZ11" s="60"/>
      <c r="GA11" s="60">
        <v>18</v>
      </c>
      <c r="GB11" s="60"/>
      <c r="GC11" s="61"/>
      <c r="GD11" s="56"/>
      <c r="GE11" s="57"/>
      <c r="GF11" s="58">
        <f t="shared" si="84"/>
        <v>18</v>
      </c>
      <c r="GG11" s="202"/>
      <c r="GH11" s="127"/>
      <c r="GI11" s="127"/>
      <c r="GJ11" s="127">
        <v>20</v>
      </c>
      <c r="GK11" s="200"/>
      <c r="GL11" s="128"/>
      <c r="GM11" s="56"/>
      <c r="GN11" s="57"/>
      <c r="GO11" s="58">
        <f t="shared" si="85"/>
        <v>20</v>
      </c>
      <c r="GP11" s="103">
        <v>54</v>
      </c>
      <c r="GQ11" s="104">
        <f t="shared" si="86"/>
        <v>104</v>
      </c>
      <c r="GR11" s="104">
        <v>250</v>
      </c>
      <c r="GS11" s="178">
        <f t="shared" si="14"/>
        <v>0.41599999999999998</v>
      </c>
      <c r="GT11" s="307"/>
      <c r="GU11" s="308"/>
      <c r="GV11" s="308"/>
      <c r="GW11" s="308"/>
      <c r="GX11" s="308"/>
      <c r="GY11" s="309"/>
      <c r="GZ11" s="310"/>
      <c r="HA11" s="57"/>
      <c r="HB11" s="57"/>
      <c r="HC11" s="58">
        <f t="shared" si="15"/>
        <v>0</v>
      </c>
      <c r="HD11" s="319"/>
      <c r="HE11" s="308"/>
      <c r="HF11" s="308"/>
      <c r="HG11" s="308"/>
      <c r="HH11" s="308"/>
      <c r="HI11" s="309"/>
      <c r="HJ11" s="56"/>
      <c r="HK11" s="57"/>
      <c r="HL11" s="57"/>
      <c r="HM11" s="58">
        <f t="shared" si="16"/>
        <v>0</v>
      </c>
      <c r="HN11" s="319"/>
      <c r="HO11" s="308"/>
      <c r="HP11" s="308"/>
      <c r="HQ11" s="308"/>
      <c r="HR11" s="308"/>
      <c r="HS11" s="309"/>
      <c r="HT11" s="310"/>
      <c r="HU11" s="57"/>
      <c r="HV11" s="57"/>
      <c r="HW11" s="58">
        <f t="shared" si="17"/>
        <v>0</v>
      </c>
      <c r="HX11" s="59"/>
      <c r="HY11" s="60"/>
      <c r="HZ11" s="60"/>
      <c r="IA11" s="60"/>
      <c r="IB11" s="60"/>
      <c r="IC11" s="61"/>
      <c r="ID11" s="56"/>
      <c r="IE11" s="57"/>
      <c r="IF11" s="57"/>
      <c r="IG11" s="88">
        <f t="shared" si="18"/>
        <v>0</v>
      </c>
      <c r="IH11" s="202"/>
      <c r="II11" s="127"/>
      <c r="IJ11" s="127"/>
      <c r="IK11" s="127"/>
      <c r="IL11" s="200"/>
      <c r="IM11" s="128"/>
      <c r="IN11" s="56"/>
      <c r="IO11" s="57"/>
      <c r="IP11" s="57"/>
      <c r="IQ11" s="58">
        <f t="shared" si="19"/>
        <v>0</v>
      </c>
      <c r="IR11" s="106"/>
      <c r="IS11" s="107"/>
      <c r="IT11" s="107"/>
      <c r="IU11" s="179"/>
      <c r="IV11" s="95"/>
      <c r="IW11" s="109">
        <f t="shared" si="87"/>
        <v>167</v>
      </c>
      <c r="IX11" s="110">
        <f t="shared" si="87"/>
        <v>517</v>
      </c>
      <c r="IY11" s="110">
        <f t="shared" si="87"/>
        <v>900</v>
      </c>
      <c r="IZ11" s="321">
        <f t="shared" si="20"/>
        <v>0.57444444444444442</v>
      </c>
      <c r="JB11" s="182" t="s">
        <v>51</v>
      </c>
      <c r="JC11" s="318"/>
      <c r="JD11" s="308"/>
      <c r="JE11" s="308"/>
      <c r="JF11" s="308"/>
      <c r="JG11" s="308">
        <v>8</v>
      </c>
      <c r="JH11" s="309"/>
      <c r="JI11" s="310"/>
      <c r="JJ11" s="57">
        <v>7</v>
      </c>
      <c r="JK11" s="57"/>
      <c r="JL11" s="58">
        <f t="shared" si="21"/>
        <v>8</v>
      </c>
      <c r="JM11" s="319"/>
      <c r="JN11" s="308"/>
      <c r="JO11" s="308"/>
      <c r="JP11" s="308"/>
      <c r="JQ11" s="308">
        <v>43</v>
      </c>
      <c r="JR11" s="309"/>
      <c r="JS11" s="310"/>
      <c r="JT11" s="57"/>
      <c r="JU11" s="57"/>
      <c r="JV11" s="58">
        <f t="shared" si="22"/>
        <v>43</v>
      </c>
      <c r="JW11" s="319"/>
      <c r="JX11" s="308"/>
      <c r="JY11" s="308"/>
      <c r="JZ11" s="308"/>
      <c r="KA11" s="308">
        <v>34</v>
      </c>
      <c r="KB11" s="309"/>
      <c r="KC11" s="310"/>
      <c r="KD11" s="57">
        <v>2</v>
      </c>
      <c r="KE11" s="57"/>
      <c r="KF11" s="58">
        <f t="shared" si="23"/>
        <v>34</v>
      </c>
      <c r="KG11" s="59"/>
      <c r="KH11" s="60"/>
      <c r="KI11" s="60"/>
      <c r="KJ11" s="60"/>
      <c r="KK11" s="60">
        <v>14</v>
      </c>
      <c r="KL11" s="61"/>
      <c r="KM11" s="56"/>
      <c r="KN11" s="57">
        <v>1</v>
      </c>
      <c r="KO11" s="57"/>
      <c r="KP11" s="88">
        <f t="shared" si="24"/>
        <v>14</v>
      </c>
      <c r="KQ11" s="202"/>
      <c r="KR11" s="127"/>
      <c r="KS11" s="127"/>
      <c r="KT11" s="127"/>
      <c r="KU11" s="200">
        <v>25</v>
      </c>
      <c r="KV11" s="128"/>
      <c r="KW11" s="56"/>
      <c r="KX11" s="57">
        <v>148</v>
      </c>
      <c r="KY11" s="57"/>
      <c r="KZ11" s="58">
        <f t="shared" si="25"/>
        <v>25</v>
      </c>
      <c r="LA11" s="81">
        <f t="shared" ref="LA11:LA29" si="107">+JK11+JU11+KE11+KO11+KX11</f>
        <v>148</v>
      </c>
      <c r="LB11" s="82">
        <f t="shared" si="26"/>
        <v>124</v>
      </c>
      <c r="LC11" s="82">
        <v>250</v>
      </c>
      <c r="LD11" s="82">
        <f t="shared" si="88"/>
        <v>-126</v>
      </c>
      <c r="LE11" s="192">
        <f t="shared" si="89"/>
        <v>0.496</v>
      </c>
      <c r="LF11" s="115"/>
      <c r="LG11" s="322" t="s">
        <v>51</v>
      </c>
      <c r="LH11" s="318"/>
      <c r="LI11" s="308"/>
      <c r="LJ11" s="308"/>
      <c r="LK11" s="308"/>
      <c r="LL11" s="308">
        <v>32</v>
      </c>
      <c r="LM11" s="309"/>
      <c r="LN11" s="310"/>
      <c r="LO11" s="57"/>
      <c r="LP11" s="57"/>
      <c r="LQ11" s="58">
        <f t="shared" si="27"/>
        <v>32</v>
      </c>
      <c r="LR11" s="319"/>
      <c r="LS11" s="308"/>
      <c r="LT11" s="308"/>
      <c r="LU11" s="308">
        <v>10</v>
      </c>
      <c r="LV11" s="308">
        <v>8</v>
      </c>
      <c r="LW11" s="309"/>
      <c r="LX11" s="310"/>
      <c r="LY11" s="57"/>
      <c r="LZ11" s="57"/>
      <c r="MA11" s="58">
        <f t="shared" si="28"/>
        <v>18</v>
      </c>
      <c r="MB11" s="319"/>
      <c r="MC11" s="308"/>
      <c r="MD11" s="308"/>
      <c r="ME11" s="308">
        <v>1</v>
      </c>
      <c r="MF11" s="308">
        <v>7</v>
      </c>
      <c r="MG11" s="309"/>
      <c r="MH11" s="310"/>
      <c r="MI11" s="57"/>
      <c r="MJ11" s="57"/>
      <c r="MK11" s="58">
        <f t="shared" si="29"/>
        <v>8</v>
      </c>
      <c r="ML11" s="59"/>
      <c r="MM11" s="60"/>
      <c r="MN11" s="60"/>
      <c r="MO11" s="60"/>
      <c r="MP11" s="60">
        <v>16</v>
      </c>
      <c r="MQ11" s="61"/>
      <c r="MR11" s="56"/>
      <c r="MS11" s="57"/>
      <c r="MT11" s="57"/>
      <c r="MU11" s="88">
        <f t="shared" si="30"/>
        <v>16</v>
      </c>
      <c r="MV11" s="202"/>
      <c r="MW11" s="127"/>
      <c r="MX11" s="127"/>
      <c r="MY11" s="127"/>
      <c r="MZ11" s="200">
        <v>6</v>
      </c>
      <c r="NA11" s="128"/>
      <c r="NB11" s="56"/>
      <c r="NC11" s="57">
        <v>157</v>
      </c>
      <c r="ND11" s="57"/>
      <c r="NE11" s="58">
        <f t="shared" si="31"/>
        <v>6</v>
      </c>
      <c r="NF11" s="117">
        <f t="shared" si="90"/>
        <v>157</v>
      </c>
      <c r="NG11" s="93">
        <f t="shared" si="32"/>
        <v>80</v>
      </c>
      <c r="NH11" s="93">
        <v>250</v>
      </c>
      <c r="NI11" s="93">
        <f t="shared" si="91"/>
        <v>-170</v>
      </c>
      <c r="NJ11" s="196">
        <f t="shared" ref="NJ11:NJ29" si="108">+NG11/NH11</f>
        <v>0.32</v>
      </c>
      <c r="NK11" s="119"/>
      <c r="NL11" s="322" t="s">
        <v>51</v>
      </c>
      <c r="NM11" s="318"/>
      <c r="NN11" s="308"/>
      <c r="NO11" s="308"/>
      <c r="NP11" s="308">
        <v>14</v>
      </c>
      <c r="NQ11" s="308"/>
      <c r="NR11" s="309"/>
      <c r="NS11" s="310"/>
      <c r="NT11" s="57"/>
      <c r="NU11" s="57"/>
      <c r="NV11" s="58">
        <f t="shared" si="33"/>
        <v>14</v>
      </c>
      <c r="NW11" s="319"/>
      <c r="NX11" s="308"/>
      <c r="NY11" s="308"/>
      <c r="NZ11" s="308">
        <v>83</v>
      </c>
      <c r="OA11" s="308"/>
      <c r="OB11" s="309"/>
      <c r="OC11" s="310"/>
      <c r="OD11" s="57"/>
      <c r="OE11" s="57"/>
      <c r="OF11" s="58">
        <f t="shared" si="34"/>
        <v>83</v>
      </c>
      <c r="OG11" s="319"/>
      <c r="OH11" s="308"/>
      <c r="OI11" s="308"/>
      <c r="OJ11" s="308">
        <v>30</v>
      </c>
      <c r="OK11" s="308"/>
      <c r="OL11" s="309"/>
      <c r="OM11" s="310"/>
      <c r="ON11" s="57"/>
      <c r="OO11" s="57"/>
      <c r="OP11" s="58">
        <f t="shared" si="35"/>
        <v>30</v>
      </c>
      <c r="OQ11" s="59"/>
      <c r="OR11" s="60"/>
      <c r="OS11" s="60"/>
      <c r="OT11" s="60">
        <v>42</v>
      </c>
      <c r="OU11" s="60"/>
      <c r="OV11" s="61"/>
      <c r="OW11" s="56"/>
      <c r="OX11" s="57"/>
      <c r="OY11" s="57"/>
      <c r="OZ11" s="88">
        <f t="shared" si="36"/>
        <v>42</v>
      </c>
      <c r="PA11" s="202"/>
      <c r="PB11" s="127"/>
      <c r="PC11" s="127"/>
      <c r="PD11" s="127">
        <v>58</v>
      </c>
      <c r="PE11" s="200"/>
      <c r="PF11" s="128"/>
      <c r="PG11" s="56"/>
      <c r="PH11" s="57"/>
      <c r="PI11" s="57"/>
      <c r="PJ11" s="58">
        <f t="shared" si="37"/>
        <v>58</v>
      </c>
      <c r="PK11" s="99">
        <f t="shared" si="38"/>
        <v>0</v>
      </c>
      <c r="PL11" s="100">
        <f t="shared" si="39"/>
        <v>227</v>
      </c>
      <c r="PM11" s="100">
        <v>250</v>
      </c>
      <c r="PN11" s="100">
        <f t="shared" si="92"/>
        <v>-23</v>
      </c>
      <c r="PO11" s="198">
        <f t="shared" ref="PO11:PO29" si="109">+PL11/PM11</f>
        <v>0.90800000000000003</v>
      </c>
      <c r="PP11" s="119"/>
      <c r="PQ11" s="322" t="s">
        <v>51</v>
      </c>
      <c r="PR11" s="318"/>
      <c r="PS11" s="308"/>
      <c r="PT11" s="308"/>
      <c r="PU11" s="308">
        <v>35</v>
      </c>
      <c r="PV11" s="308"/>
      <c r="PW11" s="309"/>
      <c r="PX11" s="310"/>
      <c r="PY11" s="57"/>
      <c r="PZ11" s="57"/>
      <c r="QA11" s="58">
        <f t="shared" si="40"/>
        <v>35</v>
      </c>
      <c r="QB11" s="319"/>
      <c r="QC11" s="308"/>
      <c r="QD11" s="308"/>
      <c r="QE11" s="308">
        <v>17</v>
      </c>
      <c r="QF11" s="308"/>
      <c r="QG11" s="309"/>
      <c r="QH11" s="310"/>
      <c r="QI11" s="57"/>
      <c r="QJ11" s="57"/>
      <c r="QK11" s="58">
        <f t="shared" si="41"/>
        <v>17</v>
      </c>
      <c r="QL11" s="319"/>
      <c r="QM11" s="308"/>
      <c r="QN11" s="308"/>
      <c r="QO11" s="308">
        <v>35</v>
      </c>
      <c r="QP11" s="308"/>
      <c r="QQ11" s="309"/>
      <c r="QR11" s="310"/>
      <c r="QS11" s="57"/>
      <c r="QT11" s="57"/>
      <c r="QU11" s="58">
        <f t="shared" si="42"/>
        <v>35</v>
      </c>
      <c r="QV11" s="59"/>
      <c r="QW11" s="60"/>
      <c r="QX11" s="60"/>
      <c r="QY11" s="60">
        <v>25</v>
      </c>
      <c r="QZ11" s="60"/>
      <c r="RA11" s="61"/>
      <c r="RB11" s="56"/>
      <c r="RC11" s="57"/>
      <c r="RD11" s="57"/>
      <c r="RE11" s="88">
        <f t="shared" si="43"/>
        <v>25</v>
      </c>
      <c r="RF11" s="202"/>
      <c r="RG11" s="127"/>
      <c r="RH11" s="127"/>
      <c r="RI11" s="127">
        <v>30</v>
      </c>
      <c r="RJ11" s="200"/>
      <c r="RK11" s="128"/>
      <c r="RL11" s="56"/>
      <c r="RM11" s="57">
        <v>22</v>
      </c>
      <c r="RN11" s="57"/>
      <c r="RO11" s="58">
        <f t="shared" si="44"/>
        <v>30</v>
      </c>
      <c r="RP11" s="121">
        <f t="shared" si="93"/>
        <v>22</v>
      </c>
      <c r="RQ11" s="104">
        <f t="shared" si="45"/>
        <v>142</v>
      </c>
      <c r="RR11" s="104">
        <v>250</v>
      </c>
      <c r="RS11" s="104">
        <f t="shared" si="94"/>
        <v>-108</v>
      </c>
      <c r="RT11" s="205">
        <f t="shared" ref="RT11:RT29" si="110">+RQ11/RR11</f>
        <v>0.56799999999999995</v>
      </c>
      <c r="RV11" s="123">
        <f t="shared" si="95"/>
        <v>327</v>
      </c>
      <c r="RW11" s="124">
        <f t="shared" si="95"/>
        <v>573</v>
      </c>
      <c r="RX11" s="124">
        <f t="shared" si="95"/>
        <v>1000</v>
      </c>
      <c r="RY11" s="323">
        <f t="shared" si="96"/>
        <v>0.57299999999999995</v>
      </c>
      <c r="SA11" s="165" t="s">
        <v>51</v>
      </c>
      <c r="SB11" s="324"/>
      <c r="SC11" s="200"/>
      <c r="SD11" s="200"/>
      <c r="SE11" s="200"/>
      <c r="SF11" s="200">
        <v>16</v>
      </c>
      <c r="SG11" s="325"/>
      <c r="SH11" s="326"/>
      <c r="SI11" s="134"/>
      <c r="SJ11" s="134"/>
      <c r="SK11" s="131">
        <f>+SB11+SC11+SD11+SE11+SF11+SG11</f>
        <v>16</v>
      </c>
      <c r="SL11" s="327"/>
      <c r="SM11" s="200"/>
      <c r="SN11" s="200"/>
      <c r="SO11" s="200"/>
      <c r="SP11" s="200">
        <v>16</v>
      </c>
      <c r="SQ11" s="325"/>
      <c r="SR11" s="326"/>
      <c r="SS11" s="134"/>
      <c r="ST11" s="134"/>
      <c r="SU11" s="131">
        <f>+SL11+SM11+SN11+SO11+SP11+SQ11</f>
        <v>16</v>
      </c>
      <c r="SV11" s="327"/>
      <c r="SW11" s="200"/>
      <c r="SX11" s="200"/>
      <c r="SY11" s="200"/>
      <c r="SZ11" s="200">
        <v>30</v>
      </c>
      <c r="TA11" s="325"/>
      <c r="TB11" s="326"/>
      <c r="TC11" s="134"/>
      <c r="TD11" s="134"/>
      <c r="TE11" s="131">
        <f>+TA11+SZ11+SY11+SX11+SW11+SV11</f>
        <v>30</v>
      </c>
      <c r="TF11" s="132"/>
      <c r="TG11" s="127"/>
      <c r="TH11" s="127"/>
      <c r="TI11" s="127"/>
      <c r="TJ11" s="127">
        <v>23</v>
      </c>
      <c r="TK11" s="128"/>
      <c r="TL11" s="133"/>
      <c r="TM11" s="134"/>
      <c r="TN11" s="134"/>
      <c r="TO11" s="131">
        <f t="shared" si="49"/>
        <v>23</v>
      </c>
      <c r="TP11" s="132"/>
      <c r="TQ11" s="127"/>
      <c r="TR11" s="127"/>
      <c r="TS11" s="127"/>
      <c r="TT11" s="200"/>
      <c r="TU11" s="128"/>
      <c r="TV11" s="133"/>
      <c r="TW11" s="134"/>
      <c r="TX11" s="134"/>
      <c r="TY11" s="136">
        <f t="shared" si="50"/>
        <v>0</v>
      </c>
      <c r="TZ11" s="209">
        <f t="shared" si="97"/>
        <v>0</v>
      </c>
      <c r="UA11" s="210">
        <f t="shared" si="97"/>
        <v>85</v>
      </c>
      <c r="UB11" s="210">
        <f>250-50</f>
        <v>200</v>
      </c>
      <c r="UC11" s="211">
        <f t="shared" si="51"/>
        <v>0.42499999999999999</v>
      </c>
      <c r="UD11" s="140"/>
      <c r="UE11" s="220" t="s">
        <v>51</v>
      </c>
      <c r="UF11" s="324"/>
      <c r="UG11" s="200"/>
      <c r="UH11" s="200"/>
      <c r="UI11" s="200"/>
      <c r="UJ11" s="200">
        <v>16</v>
      </c>
      <c r="UK11" s="325"/>
      <c r="UL11" s="326"/>
      <c r="UM11" s="134"/>
      <c r="UN11" s="134"/>
      <c r="UO11" s="131">
        <f>+UF11+UG11+UH11+UI11+UJ11+UK11</f>
        <v>16</v>
      </c>
      <c r="UP11" s="327"/>
      <c r="UQ11" s="200"/>
      <c r="UR11" s="200"/>
      <c r="US11" s="200"/>
      <c r="UT11" s="200">
        <v>16</v>
      </c>
      <c r="UU11" s="325"/>
      <c r="UV11" s="326"/>
      <c r="UW11" s="134"/>
      <c r="UX11" s="134"/>
      <c r="UY11" s="131">
        <f>+UP11+UQ11+UR11+US11+UT11+UU11</f>
        <v>16</v>
      </c>
      <c r="UZ11" s="327"/>
      <c r="VA11" s="200"/>
      <c r="VB11" s="200"/>
      <c r="VC11" s="200">
        <v>46</v>
      </c>
      <c r="VD11" s="200">
        <v>6</v>
      </c>
      <c r="VE11" s="325"/>
      <c r="VF11" s="326"/>
      <c r="VG11" s="134"/>
      <c r="VH11" s="134"/>
      <c r="VI11" s="131">
        <f>+VE11+VD11+VC11+VB11+VA11+UZ11</f>
        <v>52</v>
      </c>
      <c r="VJ11" s="132"/>
      <c r="VK11" s="127"/>
      <c r="VL11" s="127"/>
      <c r="VM11" s="127">
        <v>50</v>
      </c>
      <c r="VN11" s="127">
        <v>1</v>
      </c>
      <c r="VO11" s="128"/>
      <c r="VP11" s="133"/>
      <c r="VQ11" s="134"/>
      <c r="VR11" s="134"/>
      <c r="VS11" s="131">
        <f t="shared" si="55"/>
        <v>51</v>
      </c>
      <c r="VT11" s="132"/>
      <c r="VU11" s="127"/>
      <c r="VV11" s="127"/>
      <c r="VW11" s="127"/>
      <c r="VX11" s="127">
        <v>24</v>
      </c>
      <c r="VY11" s="128"/>
      <c r="VZ11" s="133"/>
      <c r="WA11" s="134"/>
      <c r="WB11" s="134"/>
      <c r="WC11" s="131">
        <f t="shared" si="56"/>
        <v>24</v>
      </c>
      <c r="WD11" s="216">
        <f t="shared" si="98"/>
        <v>0</v>
      </c>
      <c r="WE11" s="217">
        <f t="shared" si="98"/>
        <v>159</v>
      </c>
      <c r="WF11" s="217">
        <v>250</v>
      </c>
      <c r="WG11" s="218">
        <f t="shared" si="57"/>
        <v>0.63600000000000001</v>
      </c>
      <c r="WH11" s="146"/>
      <c r="WI11" s="220" t="s">
        <v>51</v>
      </c>
      <c r="WJ11" s="324"/>
      <c r="WK11" s="200"/>
      <c r="WL11" s="200"/>
      <c r="WM11" s="200"/>
      <c r="WN11" s="200">
        <v>29</v>
      </c>
      <c r="WO11" s="325"/>
      <c r="WP11" s="326"/>
      <c r="WQ11" s="134"/>
      <c r="WR11" s="134"/>
      <c r="WS11" s="131">
        <f t="shared" si="58"/>
        <v>29</v>
      </c>
      <c r="WT11" s="327"/>
      <c r="WU11" s="200"/>
      <c r="WV11" s="200"/>
      <c r="WW11" s="200"/>
      <c r="WX11" s="200">
        <v>26</v>
      </c>
      <c r="WY11" s="325"/>
      <c r="WZ11" s="326"/>
      <c r="XA11" s="134"/>
      <c r="XB11" s="134"/>
      <c r="XC11" s="131">
        <f>+WT11+WU11+WV11+WW11+WX11+WY11</f>
        <v>26</v>
      </c>
      <c r="XD11" s="327"/>
      <c r="XE11" s="200"/>
      <c r="XF11" s="200"/>
      <c r="XG11" s="200">
        <v>17</v>
      </c>
      <c r="XH11" s="200">
        <v>13</v>
      </c>
      <c r="XI11" s="325"/>
      <c r="XJ11" s="326"/>
      <c r="XK11" s="134"/>
      <c r="XL11" s="134"/>
      <c r="XM11" s="131">
        <f>+XI11+XH11+XG11+XF11+XE11+XD11</f>
        <v>30</v>
      </c>
      <c r="XN11" s="132"/>
      <c r="XO11" s="127"/>
      <c r="XP11" s="127"/>
      <c r="XQ11" s="127"/>
      <c r="XR11" s="127">
        <v>22</v>
      </c>
      <c r="XS11" s="128"/>
      <c r="XT11" s="133"/>
      <c r="XU11" s="134"/>
      <c r="XV11" s="134"/>
      <c r="XW11" s="131">
        <f t="shared" si="61"/>
        <v>22</v>
      </c>
      <c r="XX11" s="132"/>
      <c r="XY11" s="127"/>
      <c r="XZ11" s="127"/>
      <c r="YA11" s="127">
        <v>58</v>
      </c>
      <c r="YB11" s="200">
        <v>10</v>
      </c>
      <c r="YC11" s="128"/>
      <c r="YD11" s="133"/>
      <c r="YE11" s="134"/>
      <c r="YF11" s="134"/>
      <c r="YG11" s="131">
        <f t="shared" si="62"/>
        <v>68</v>
      </c>
      <c r="YH11" s="221">
        <f t="shared" si="99"/>
        <v>0</v>
      </c>
      <c r="YI11" s="148">
        <f t="shared" si="99"/>
        <v>175</v>
      </c>
      <c r="YJ11" s="222">
        <v>250</v>
      </c>
      <c r="YK11" s="223">
        <f t="shared" si="63"/>
        <v>0.7</v>
      </c>
      <c r="YL11" s="150"/>
      <c r="YM11" s="328"/>
      <c r="YN11" s="200"/>
      <c r="YO11" s="200"/>
      <c r="YP11" s="200"/>
      <c r="YQ11" s="200">
        <v>19</v>
      </c>
      <c r="YR11" s="325"/>
      <c r="YS11" s="326"/>
      <c r="YT11" s="134"/>
      <c r="YU11" s="134"/>
      <c r="YV11" s="131">
        <f>+YM11+YN11+YO11+YP11+YQ11+YR11</f>
        <v>19</v>
      </c>
      <c r="YW11" s="327"/>
      <c r="YX11" s="200"/>
      <c r="YY11" s="200"/>
      <c r="YZ11" s="200">
        <v>15</v>
      </c>
      <c r="ZA11" s="200">
        <v>10</v>
      </c>
      <c r="ZB11" s="325"/>
      <c r="ZC11" s="326"/>
      <c r="ZD11" s="134"/>
      <c r="ZE11" s="134"/>
      <c r="ZF11" s="131">
        <f>+YW11+YX11+YY11+YZ11+ZA11+ZB11</f>
        <v>25</v>
      </c>
      <c r="ZG11" s="327"/>
      <c r="ZH11" s="200"/>
      <c r="ZI11" s="200"/>
      <c r="ZJ11" s="200">
        <v>9</v>
      </c>
      <c r="ZK11" s="200">
        <v>5</v>
      </c>
      <c r="ZL11" s="325"/>
      <c r="ZM11" s="326"/>
      <c r="ZN11" s="134"/>
      <c r="ZO11" s="134"/>
      <c r="ZP11" s="131">
        <f>+ZL11+ZK11+ZJ11+ZI11+ZH11+ZG11</f>
        <v>14</v>
      </c>
      <c r="ZQ11" s="132"/>
      <c r="ZR11" s="127"/>
      <c r="ZS11" s="127"/>
      <c r="ZT11" s="127">
        <v>11</v>
      </c>
      <c r="ZU11" s="127">
        <v>9</v>
      </c>
      <c r="ZV11" s="128"/>
      <c r="ZW11" s="133"/>
      <c r="ZX11" s="134"/>
      <c r="ZY11" s="134"/>
      <c r="ZZ11" s="131">
        <f t="shared" si="67"/>
        <v>20</v>
      </c>
      <c r="AAA11" s="132"/>
      <c r="AAB11" s="127"/>
      <c r="AAC11" s="127"/>
      <c r="AAD11" s="127">
        <v>23</v>
      </c>
      <c r="AAE11" s="200">
        <v>8</v>
      </c>
      <c r="AAF11" s="128"/>
      <c r="AAG11" s="133"/>
      <c r="AAH11" s="134"/>
      <c r="AAI11" s="134"/>
      <c r="AAJ11" s="131">
        <f t="shared" si="68"/>
        <v>31</v>
      </c>
      <c r="AAK11" s="226">
        <f t="shared" si="69"/>
        <v>109</v>
      </c>
      <c r="AAL11" s="226">
        <v>250</v>
      </c>
      <c r="AAM11" s="227">
        <f t="shared" si="70"/>
        <v>0.436</v>
      </c>
      <c r="AAN11" s="329" t="s">
        <v>51</v>
      </c>
      <c r="AAO11" s="324"/>
      <c r="AAP11" s="200"/>
      <c r="AAQ11" s="200"/>
      <c r="AAR11" s="200"/>
      <c r="AAS11" s="200"/>
      <c r="AAT11" s="325"/>
      <c r="AAU11" s="326"/>
      <c r="AAV11" s="134"/>
      <c r="AAW11" s="134"/>
      <c r="AAX11" s="155"/>
      <c r="AAY11" s="131">
        <f t="shared" si="104"/>
        <v>0</v>
      </c>
      <c r="AAZ11" s="327"/>
      <c r="ABA11" s="200"/>
      <c r="ABB11" s="200"/>
      <c r="ABC11" s="200"/>
      <c r="ABD11" s="200">
        <v>21</v>
      </c>
      <c r="ABE11" s="325"/>
      <c r="ABF11" s="326"/>
      <c r="ABG11" s="134"/>
      <c r="ABH11" s="134"/>
      <c r="ABI11" s="131">
        <f t="shared" si="71"/>
        <v>21</v>
      </c>
      <c r="ABJ11" s="327"/>
      <c r="ABK11" s="200"/>
      <c r="ABL11" s="200"/>
      <c r="ABM11" s="200">
        <v>55</v>
      </c>
      <c r="ABN11" s="200">
        <v>3</v>
      </c>
      <c r="ABO11" s="325"/>
      <c r="ABP11" s="326"/>
      <c r="ABQ11" s="134"/>
      <c r="ABR11" s="134"/>
      <c r="ABS11" s="131">
        <f>+ABO11+ABN11+ABM11+ABL11+ABK11+ABJ11</f>
        <v>58</v>
      </c>
      <c r="ABT11" s="132"/>
      <c r="ABU11" s="127"/>
      <c r="ABV11" s="127"/>
      <c r="ABW11" s="127"/>
      <c r="ABX11" s="127">
        <v>21</v>
      </c>
      <c r="ABY11" s="128"/>
      <c r="ABZ11" s="133"/>
      <c r="ACA11" s="134"/>
      <c r="ACB11" s="134"/>
      <c r="ACC11" s="131">
        <f t="shared" si="73"/>
        <v>21</v>
      </c>
      <c r="ACD11" s="132"/>
      <c r="ACE11" s="127"/>
      <c r="ACF11" s="127"/>
      <c r="ACG11" s="127"/>
      <c r="ACH11" s="200">
        <v>16</v>
      </c>
      <c r="ACI11" s="128"/>
      <c r="ACJ11" s="133"/>
      <c r="ACK11" s="134">
        <v>3</v>
      </c>
      <c r="ACL11" s="134"/>
      <c r="ACM11" s="131">
        <f t="shared" si="74"/>
        <v>16</v>
      </c>
      <c r="ACN11" s="156">
        <f t="shared" si="75"/>
        <v>0</v>
      </c>
      <c r="ACO11" s="157"/>
      <c r="ACP11" s="229">
        <f t="shared" si="100"/>
        <v>116</v>
      </c>
      <c r="ACQ11" s="229">
        <v>200</v>
      </c>
      <c r="ACR11" s="230">
        <f t="shared" si="101"/>
        <v>0.57999999999999996</v>
      </c>
      <c r="ACS11" s="231">
        <f t="shared" si="76"/>
        <v>644</v>
      </c>
      <c r="ACT11" s="207">
        <f t="shared" si="76"/>
        <v>1150</v>
      </c>
      <c r="ACU11" s="323">
        <f t="shared" si="102"/>
        <v>0.56000000000000005</v>
      </c>
      <c r="ACW11" s="330">
        <f t="shared" si="103"/>
        <v>0.56914814814814818</v>
      </c>
      <c r="ACX11" s="331">
        <v>6</v>
      </c>
    </row>
    <row r="12" spans="1:778" s="102" customFormat="1" x14ac:dyDescent="0.35">
      <c r="A12" s="51" t="s">
        <v>52</v>
      </c>
      <c r="B12" s="165" t="s">
        <v>91</v>
      </c>
      <c r="C12" s="332"/>
      <c r="D12" s="333"/>
      <c r="E12" s="333"/>
      <c r="F12" s="333"/>
      <c r="G12" s="333"/>
      <c r="H12" s="334"/>
      <c r="I12" s="335"/>
      <c r="J12" s="72"/>
      <c r="K12" s="80">
        <f t="shared" si="0"/>
        <v>0</v>
      </c>
      <c r="L12" s="336"/>
      <c r="M12" s="333"/>
      <c r="N12" s="333"/>
      <c r="O12" s="333"/>
      <c r="P12" s="333"/>
      <c r="Q12" s="334"/>
      <c r="R12" s="71"/>
      <c r="S12" s="72"/>
      <c r="T12" s="58">
        <f t="shared" si="1"/>
        <v>0</v>
      </c>
      <c r="U12" s="314"/>
      <c r="V12" s="315"/>
      <c r="W12" s="315"/>
      <c r="X12" s="315"/>
      <c r="Y12" s="315"/>
      <c r="Z12" s="316"/>
      <c r="AA12" s="317"/>
      <c r="AB12" s="66"/>
      <c r="AC12" s="67">
        <f t="shared" si="2"/>
        <v>0</v>
      </c>
      <c r="AD12" s="336"/>
      <c r="AE12" s="333"/>
      <c r="AF12" s="333"/>
      <c r="AG12" s="333"/>
      <c r="AH12" s="333"/>
      <c r="AI12" s="334"/>
      <c r="AJ12" s="335"/>
      <c r="AK12" s="72"/>
      <c r="AL12" s="88">
        <f t="shared" si="3"/>
        <v>0</v>
      </c>
      <c r="AM12" s="336"/>
      <c r="AN12" s="333"/>
      <c r="AO12" s="333"/>
      <c r="AP12" s="333"/>
      <c r="AQ12" s="333"/>
      <c r="AR12" s="337"/>
      <c r="AS12" s="335"/>
      <c r="AT12" s="72"/>
      <c r="AU12" s="80">
        <f t="shared" si="4"/>
        <v>0</v>
      </c>
      <c r="AV12" s="81">
        <v>0</v>
      </c>
      <c r="AW12" s="82">
        <f t="shared" si="77"/>
        <v>0</v>
      </c>
      <c r="AX12" s="82">
        <v>0</v>
      </c>
      <c r="AY12" s="172">
        <v>0</v>
      </c>
      <c r="AZ12" s="84"/>
      <c r="BA12" s="307"/>
      <c r="BB12" s="308"/>
      <c r="BC12" s="308"/>
      <c r="BD12" s="308"/>
      <c r="BE12" s="308"/>
      <c r="BF12" s="309">
        <f>28+28</f>
        <v>56</v>
      </c>
      <c r="BG12" s="310"/>
      <c r="BH12" s="57"/>
      <c r="BI12" s="86">
        <f t="shared" si="6"/>
        <v>56</v>
      </c>
      <c r="BJ12" s="318"/>
      <c r="BK12" s="308"/>
      <c r="BL12" s="308"/>
      <c r="BM12" s="308"/>
      <c r="BN12" s="308"/>
      <c r="BO12" s="309">
        <f>26+9</f>
        <v>35</v>
      </c>
      <c r="BP12" s="310"/>
      <c r="BQ12" s="57"/>
      <c r="BR12" s="58">
        <f t="shared" si="7"/>
        <v>35</v>
      </c>
      <c r="BS12" s="319"/>
      <c r="BT12" s="308"/>
      <c r="BU12" s="308"/>
      <c r="BV12" s="308"/>
      <c r="BW12" s="308"/>
      <c r="BX12" s="309">
        <f>28+9+21</f>
        <v>58</v>
      </c>
      <c r="BY12" s="310"/>
      <c r="BZ12" s="57"/>
      <c r="CA12" s="58">
        <f t="shared" si="105"/>
        <v>58</v>
      </c>
      <c r="CB12" s="338"/>
      <c r="CC12" s="339"/>
      <c r="CD12" s="339"/>
      <c r="CE12" s="339"/>
      <c r="CF12" s="339"/>
      <c r="CG12" s="340">
        <f>28+28</f>
        <v>56</v>
      </c>
      <c r="CH12" s="310"/>
      <c r="CI12" s="57"/>
      <c r="CJ12" s="88">
        <f t="shared" si="106"/>
        <v>56</v>
      </c>
      <c r="CK12" s="338"/>
      <c r="CL12" s="339"/>
      <c r="CM12" s="339"/>
      <c r="CN12" s="339">
        <f>27+9</f>
        <v>36</v>
      </c>
      <c r="CO12" s="339"/>
      <c r="CP12" s="341"/>
      <c r="CQ12" s="310"/>
      <c r="CR12" s="57"/>
      <c r="CS12" s="91">
        <f t="shared" si="78"/>
        <v>36</v>
      </c>
      <c r="CT12" s="92">
        <v>154</v>
      </c>
      <c r="CU12" s="93">
        <f t="shared" si="79"/>
        <v>241</v>
      </c>
      <c r="CV12" s="93">
        <v>250</v>
      </c>
      <c r="CW12" s="175">
        <f t="shared" si="8"/>
        <v>0.96399999999999997</v>
      </c>
      <c r="CX12" s="95"/>
      <c r="CY12" s="307"/>
      <c r="CZ12" s="308"/>
      <c r="DA12" s="308"/>
      <c r="DB12" s="308"/>
      <c r="DC12" s="308"/>
      <c r="DD12" s="309">
        <f>27+22</f>
        <v>49</v>
      </c>
      <c r="DE12" s="310"/>
      <c r="DF12" s="57"/>
      <c r="DG12" s="58">
        <f t="shared" si="9"/>
        <v>49</v>
      </c>
      <c r="DH12" s="319"/>
      <c r="DI12" s="308"/>
      <c r="DJ12" s="308"/>
      <c r="DK12" s="308"/>
      <c r="DL12" s="308"/>
      <c r="DM12" s="309">
        <v>52</v>
      </c>
      <c r="DN12" s="310"/>
      <c r="DO12" s="57"/>
      <c r="DP12" s="58">
        <f t="shared" si="10"/>
        <v>52</v>
      </c>
      <c r="DQ12" s="342"/>
      <c r="DR12" s="217"/>
      <c r="DS12" s="217"/>
      <c r="DT12" s="217"/>
      <c r="DU12" s="217"/>
      <c r="DV12" s="343">
        <v>0</v>
      </c>
      <c r="DW12" s="344"/>
      <c r="DX12" s="79"/>
      <c r="DY12" s="58">
        <f t="shared" si="80"/>
        <v>0</v>
      </c>
      <c r="DZ12" s="342"/>
      <c r="EA12" s="217"/>
      <c r="EB12" s="217"/>
      <c r="EC12" s="217">
        <v>0</v>
      </c>
      <c r="ED12" s="217"/>
      <c r="EE12" s="343"/>
      <c r="EF12" s="344"/>
      <c r="EG12" s="79"/>
      <c r="EH12" s="96">
        <f t="shared" si="81"/>
        <v>0</v>
      </c>
      <c r="EI12" s="345"/>
      <c r="EJ12" s="333"/>
      <c r="EK12" s="333"/>
      <c r="EL12" s="333"/>
      <c r="EM12" s="333"/>
      <c r="EN12" s="337"/>
      <c r="EO12" s="335"/>
      <c r="EP12" s="72"/>
      <c r="EQ12" s="98">
        <f t="shared" si="82"/>
        <v>0</v>
      </c>
      <c r="ER12" s="99">
        <v>141</v>
      </c>
      <c r="ES12" s="100">
        <f>+DG12+DP12+DY12+EH12+EQ12</f>
        <v>101</v>
      </c>
      <c r="ET12" s="346">
        <v>100</v>
      </c>
      <c r="EU12" s="177">
        <f t="shared" si="11"/>
        <v>1.01</v>
      </c>
      <c r="EV12" s="95"/>
      <c r="EW12" s="307"/>
      <c r="EX12" s="308"/>
      <c r="EY12" s="308"/>
      <c r="EZ12" s="308"/>
      <c r="FA12" s="308"/>
      <c r="FB12" s="309">
        <v>53</v>
      </c>
      <c r="FC12" s="310"/>
      <c r="FD12" s="57"/>
      <c r="FE12" s="58">
        <f t="shared" si="12"/>
        <v>53</v>
      </c>
      <c r="FF12" s="319"/>
      <c r="FG12" s="308"/>
      <c r="FH12" s="308"/>
      <c r="FI12" s="308"/>
      <c r="FJ12" s="308"/>
      <c r="FK12" s="309">
        <v>33</v>
      </c>
      <c r="FL12" s="310"/>
      <c r="FM12" s="57"/>
      <c r="FN12" s="58">
        <f t="shared" si="13"/>
        <v>33</v>
      </c>
      <c r="FO12" s="319"/>
      <c r="FP12" s="308"/>
      <c r="FQ12" s="308"/>
      <c r="FR12" s="308"/>
      <c r="FS12" s="308"/>
      <c r="FT12" s="309">
        <v>30</v>
      </c>
      <c r="FU12" s="310"/>
      <c r="FV12" s="57"/>
      <c r="FW12" s="58">
        <f t="shared" si="83"/>
        <v>30</v>
      </c>
      <c r="FX12" s="338"/>
      <c r="FY12" s="339"/>
      <c r="FZ12" s="339"/>
      <c r="GA12" s="339"/>
      <c r="GB12" s="339">
        <v>17</v>
      </c>
      <c r="GC12" s="340"/>
      <c r="GD12" s="310"/>
      <c r="GE12" s="57"/>
      <c r="GF12" s="58">
        <f t="shared" si="84"/>
        <v>17</v>
      </c>
      <c r="GG12" s="338"/>
      <c r="GH12" s="339"/>
      <c r="GI12" s="339"/>
      <c r="GJ12" s="339"/>
      <c r="GK12" s="339">
        <v>49</v>
      </c>
      <c r="GL12" s="341"/>
      <c r="GM12" s="310"/>
      <c r="GN12" s="57"/>
      <c r="GO12" s="58">
        <f t="shared" si="85"/>
        <v>49</v>
      </c>
      <c r="GP12" s="103">
        <v>180</v>
      </c>
      <c r="GQ12" s="104">
        <f t="shared" si="86"/>
        <v>182</v>
      </c>
      <c r="GR12" s="104">
        <v>250</v>
      </c>
      <c r="GS12" s="178">
        <f t="shared" si="14"/>
        <v>0.72799999999999998</v>
      </c>
      <c r="GT12" s="307"/>
      <c r="GU12" s="308"/>
      <c r="GV12" s="308"/>
      <c r="GW12" s="308"/>
      <c r="GX12" s="308"/>
      <c r="GY12" s="309"/>
      <c r="GZ12" s="310"/>
      <c r="HA12" s="57"/>
      <c r="HB12" s="57"/>
      <c r="HC12" s="58">
        <f t="shared" si="15"/>
        <v>0</v>
      </c>
      <c r="HD12" s="319"/>
      <c r="HE12" s="308"/>
      <c r="HF12" s="308"/>
      <c r="HG12" s="308"/>
      <c r="HH12" s="308"/>
      <c r="HI12" s="309"/>
      <c r="HJ12" s="310"/>
      <c r="HK12" s="57"/>
      <c r="HL12" s="57"/>
      <c r="HM12" s="58">
        <f t="shared" si="16"/>
        <v>0</v>
      </c>
      <c r="HN12" s="319"/>
      <c r="HO12" s="308"/>
      <c r="HP12" s="308"/>
      <c r="HQ12" s="308"/>
      <c r="HR12" s="308"/>
      <c r="HS12" s="309"/>
      <c r="HT12" s="310"/>
      <c r="HU12" s="57"/>
      <c r="HV12" s="57"/>
      <c r="HW12" s="58">
        <f t="shared" si="17"/>
        <v>0</v>
      </c>
      <c r="HX12" s="338"/>
      <c r="HY12" s="339"/>
      <c r="HZ12" s="339"/>
      <c r="IA12" s="339"/>
      <c r="IB12" s="339"/>
      <c r="IC12" s="340"/>
      <c r="ID12" s="310"/>
      <c r="IE12" s="57"/>
      <c r="IF12" s="57"/>
      <c r="IG12" s="88">
        <f t="shared" si="18"/>
        <v>0</v>
      </c>
      <c r="IH12" s="338"/>
      <c r="II12" s="339"/>
      <c r="IJ12" s="339"/>
      <c r="IK12" s="339"/>
      <c r="IL12" s="339"/>
      <c r="IM12" s="341"/>
      <c r="IN12" s="310"/>
      <c r="IO12" s="57"/>
      <c r="IP12" s="57"/>
      <c r="IQ12" s="58">
        <f t="shared" si="19"/>
        <v>0</v>
      </c>
      <c r="IR12" s="106"/>
      <c r="IS12" s="107"/>
      <c r="IT12" s="107"/>
      <c r="IU12" s="179"/>
      <c r="IV12" s="95"/>
      <c r="IW12" s="109">
        <f t="shared" si="87"/>
        <v>475</v>
      </c>
      <c r="IX12" s="110">
        <f t="shared" si="87"/>
        <v>524</v>
      </c>
      <c r="IY12" s="110">
        <f t="shared" si="87"/>
        <v>600</v>
      </c>
      <c r="IZ12" s="347">
        <f t="shared" si="20"/>
        <v>0.87333333333333329</v>
      </c>
      <c r="JB12" s="182" t="s">
        <v>53</v>
      </c>
      <c r="JC12" s="318"/>
      <c r="JD12" s="308"/>
      <c r="JE12" s="308"/>
      <c r="JF12" s="308"/>
      <c r="JG12" s="308"/>
      <c r="JH12" s="309">
        <v>52</v>
      </c>
      <c r="JI12" s="310"/>
      <c r="JJ12" s="57"/>
      <c r="JK12" s="57"/>
      <c r="JL12" s="58">
        <f>+JC12+JD12+JE12+JF12+JG12+JH12</f>
        <v>52</v>
      </c>
      <c r="JM12" s="319"/>
      <c r="JN12" s="308"/>
      <c r="JO12" s="308"/>
      <c r="JP12" s="308"/>
      <c r="JQ12" s="308"/>
      <c r="JR12" s="309">
        <v>46</v>
      </c>
      <c r="JS12" s="310"/>
      <c r="JT12" s="57"/>
      <c r="JU12" s="57"/>
      <c r="JV12" s="58">
        <f>+JM12+JN12+JO12+JP12+JQ12+JR12</f>
        <v>46</v>
      </c>
      <c r="JW12" s="319"/>
      <c r="JX12" s="308"/>
      <c r="JY12" s="308"/>
      <c r="JZ12" s="308"/>
      <c r="KA12" s="308"/>
      <c r="KB12" s="309">
        <v>55</v>
      </c>
      <c r="KC12" s="310"/>
      <c r="KD12" s="57"/>
      <c r="KE12" s="57"/>
      <c r="KF12" s="58">
        <f t="shared" si="23"/>
        <v>55</v>
      </c>
      <c r="KG12" s="338"/>
      <c r="KH12" s="339"/>
      <c r="KI12" s="339"/>
      <c r="KJ12" s="339"/>
      <c r="KK12" s="339">
        <v>36</v>
      </c>
      <c r="KL12" s="340"/>
      <c r="KM12" s="310"/>
      <c r="KN12" s="57"/>
      <c r="KO12" s="57"/>
      <c r="KP12" s="88">
        <f t="shared" si="24"/>
        <v>36</v>
      </c>
      <c r="KQ12" s="338"/>
      <c r="KR12" s="339"/>
      <c r="KS12" s="339"/>
      <c r="KT12" s="339"/>
      <c r="KU12" s="339"/>
      <c r="KV12" s="341">
        <v>64</v>
      </c>
      <c r="KW12" s="56"/>
      <c r="KX12" s="57">
        <v>149</v>
      </c>
      <c r="KY12" s="57"/>
      <c r="KZ12" s="58">
        <f t="shared" si="25"/>
        <v>64</v>
      </c>
      <c r="LA12" s="81">
        <f t="shared" si="107"/>
        <v>149</v>
      </c>
      <c r="LB12" s="82">
        <f t="shared" si="26"/>
        <v>253</v>
      </c>
      <c r="LC12" s="348">
        <v>250</v>
      </c>
      <c r="LD12" s="82">
        <f t="shared" si="88"/>
        <v>3</v>
      </c>
      <c r="LE12" s="192">
        <f t="shared" si="89"/>
        <v>1.012</v>
      </c>
      <c r="LF12" s="115"/>
      <c r="LG12" s="322" t="s">
        <v>53</v>
      </c>
      <c r="LH12" s="318"/>
      <c r="LI12" s="308"/>
      <c r="LJ12" s="308"/>
      <c r="LK12" s="308"/>
      <c r="LL12" s="308"/>
      <c r="LM12" s="309">
        <v>79</v>
      </c>
      <c r="LN12" s="310"/>
      <c r="LO12" s="57"/>
      <c r="LP12" s="57"/>
      <c r="LQ12" s="58">
        <f>+LH12+LI12+LJ12+LK12+LL12+LM12</f>
        <v>79</v>
      </c>
      <c r="LR12" s="319"/>
      <c r="LS12" s="308"/>
      <c r="LT12" s="308"/>
      <c r="LU12" s="308"/>
      <c r="LV12" s="308"/>
      <c r="LW12" s="309">
        <v>38</v>
      </c>
      <c r="LX12" s="310"/>
      <c r="LY12" s="57"/>
      <c r="LZ12" s="57"/>
      <c r="MA12" s="58">
        <f>+LR12+LS12+LT12+LU12+LV12+LW12</f>
        <v>38</v>
      </c>
      <c r="MB12" s="319"/>
      <c r="MC12" s="308"/>
      <c r="MD12" s="308"/>
      <c r="ME12" s="308"/>
      <c r="MF12" s="308"/>
      <c r="MG12" s="309">
        <v>50</v>
      </c>
      <c r="MH12" s="310"/>
      <c r="MI12" s="57"/>
      <c r="MJ12" s="57"/>
      <c r="MK12" s="58">
        <f t="shared" si="29"/>
        <v>50</v>
      </c>
      <c r="ML12" s="338"/>
      <c r="MM12" s="339"/>
      <c r="MN12" s="339"/>
      <c r="MO12" s="339"/>
      <c r="MP12" s="339"/>
      <c r="MQ12" s="340">
        <v>36</v>
      </c>
      <c r="MR12" s="310"/>
      <c r="MS12" s="57"/>
      <c r="MT12" s="57"/>
      <c r="MU12" s="88">
        <f t="shared" si="30"/>
        <v>36</v>
      </c>
      <c r="MV12" s="338"/>
      <c r="MW12" s="339"/>
      <c r="MX12" s="339"/>
      <c r="MY12" s="339"/>
      <c r="MZ12" s="339"/>
      <c r="NA12" s="341">
        <v>47</v>
      </c>
      <c r="NB12" s="310"/>
      <c r="NC12" s="57">
        <v>193</v>
      </c>
      <c r="ND12" s="57"/>
      <c r="NE12" s="58">
        <f t="shared" si="31"/>
        <v>47</v>
      </c>
      <c r="NF12" s="117">
        <f t="shared" si="90"/>
        <v>193</v>
      </c>
      <c r="NG12" s="93">
        <f t="shared" si="32"/>
        <v>250</v>
      </c>
      <c r="NH12" s="349">
        <v>250</v>
      </c>
      <c r="NI12" s="93">
        <f t="shared" si="91"/>
        <v>0</v>
      </c>
      <c r="NJ12" s="196">
        <f t="shared" si="108"/>
        <v>1</v>
      </c>
      <c r="NK12" s="119"/>
      <c r="NL12" s="322" t="s">
        <v>53</v>
      </c>
      <c r="NM12" s="318"/>
      <c r="NN12" s="308"/>
      <c r="NO12" s="308"/>
      <c r="NP12" s="308"/>
      <c r="NQ12" s="308"/>
      <c r="NR12" s="309">
        <v>51</v>
      </c>
      <c r="NS12" s="310"/>
      <c r="NT12" s="57"/>
      <c r="NU12" s="57"/>
      <c r="NV12" s="58">
        <f>+NM12+NN12+NO12+NP12+NQ12+NR12</f>
        <v>51</v>
      </c>
      <c r="NW12" s="319"/>
      <c r="NX12" s="308"/>
      <c r="NY12" s="308"/>
      <c r="NZ12" s="308"/>
      <c r="OA12" s="308"/>
      <c r="OB12" s="309">
        <v>31</v>
      </c>
      <c r="OC12" s="310"/>
      <c r="OD12" s="57"/>
      <c r="OE12" s="57"/>
      <c r="OF12" s="58">
        <f>+NW12+NX12+NY12+NZ12+OA12+OB12</f>
        <v>31</v>
      </c>
      <c r="OG12" s="319"/>
      <c r="OH12" s="308"/>
      <c r="OI12" s="308"/>
      <c r="OJ12" s="308">
        <v>7</v>
      </c>
      <c r="OK12" s="308"/>
      <c r="OL12" s="309">
        <v>17</v>
      </c>
      <c r="OM12" s="310"/>
      <c r="ON12" s="57"/>
      <c r="OO12" s="57"/>
      <c r="OP12" s="58">
        <f t="shared" si="35"/>
        <v>24</v>
      </c>
      <c r="OQ12" s="338"/>
      <c r="OR12" s="339"/>
      <c r="OS12" s="339"/>
      <c r="OT12" s="339"/>
      <c r="OU12" s="339"/>
      <c r="OV12" s="340">
        <v>37</v>
      </c>
      <c r="OW12" s="310"/>
      <c r="OX12" s="57"/>
      <c r="OY12" s="57"/>
      <c r="OZ12" s="88">
        <f t="shared" si="36"/>
        <v>37</v>
      </c>
      <c r="PA12" s="338"/>
      <c r="PB12" s="339"/>
      <c r="PC12" s="339"/>
      <c r="PD12" s="339"/>
      <c r="PE12" s="339"/>
      <c r="PF12" s="341">
        <v>43</v>
      </c>
      <c r="PG12" s="310"/>
      <c r="PH12" s="57"/>
      <c r="PI12" s="57"/>
      <c r="PJ12" s="58">
        <f t="shared" si="37"/>
        <v>43</v>
      </c>
      <c r="PK12" s="99">
        <f t="shared" si="38"/>
        <v>0</v>
      </c>
      <c r="PL12" s="100">
        <f t="shared" si="39"/>
        <v>186</v>
      </c>
      <c r="PM12" s="346">
        <v>250</v>
      </c>
      <c r="PN12" s="100">
        <f t="shared" si="92"/>
        <v>-64</v>
      </c>
      <c r="PO12" s="198">
        <f t="shared" si="109"/>
        <v>0.74399999999999999</v>
      </c>
      <c r="PP12" s="119"/>
      <c r="PQ12" s="322" t="s">
        <v>53</v>
      </c>
      <c r="PR12" s="318"/>
      <c r="PS12" s="308"/>
      <c r="PT12" s="308"/>
      <c r="PU12" s="308"/>
      <c r="PV12" s="308"/>
      <c r="PW12" s="309">
        <v>56</v>
      </c>
      <c r="PX12" s="310"/>
      <c r="PY12" s="57"/>
      <c r="PZ12" s="57"/>
      <c r="QA12" s="58">
        <f>+PR12+PS12+PT12+PU12+PV12+PW12</f>
        <v>56</v>
      </c>
      <c r="QB12" s="319"/>
      <c r="QC12" s="308"/>
      <c r="QD12" s="308"/>
      <c r="QE12" s="308"/>
      <c r="QF12" s="308"/>
      <c r="QG12" s="309">
        <v>5</v>
      </c>
      <c r="QH12" s="310"/>
      <c r="QI12" s="57"/>
      <c r="QJ12" s="57"/>
      <c r="QK12" s="58">
        <f>+QB12+QC12+QD12+QE12+QF12+QG12</f>
        <v>5</v>
      </c>
      <c r="QL12" s="319"/>
      <c r="QM12" s="308"/>
      <c r="QN12" s="308"/>
      <c r="QO12" s="308"/>
      <c r="QP12" s="308"/>
      <c r="QQ12" s="309">
        <v>18</v>
      </c>
      <c r="QR12" s="310"/>
      <c r="QS12" s="57"/>
      <c r="QT12" s="57"/>
      <c r="QU12" s="58">
        <f t="shared" si="42"/>
        <v>18</v>
      </c>
      <c r="QV12" s="338"/>
      <c r="QW12" s="339"/>
      <c r="QX12" s="339"/>
      <c r="QY12" s="339"/>
      <c r="QZ12" s="339"/>
      <c r="RA12" s="340">
        <v>31</v>
      </c>
      <c r="RB12" s="310"/>
      <c r="RC12" s="57"/>
      <c r="RD12" s="57"/>
      <c r="RE12" s="88">
        <f t="shared" si="43"/>
        <v>31</v>
      </c>
      <c r="RF12" s="338"/>
      <c r="RG12" s="339"/>
      <c r="RH12" s="339"/>
      <c r="RI12" s="339"/>
      <c r="RJ12" s="339"/>
      <c r="RK12" s="341"/>
      <c r="RL12" s="310"/>
      <c r="RM12" s="57">
        <v>178</v>
      </c>
      <c r="RN12" s="57"/>
      <c r="RO12" s="58">
        <f t="shared" si="44"/>
        <v>0</v>
      </c>
      <c r="RP12" s="121">
        <f t="shared" si="93"/>
        <v>178</v>
      </c>
      <c r="RQ12" s="104">
        <f t="shared" si="45"/>
        <v>110</v>
      </c>
      <c r="RR12" s="350">
        <v>250</v>
      </c>
      <c r="RS12" s="104">
        <f t="shared" si="94"/>
        <v>-140</v>
      </c>
      <c r="RT12" s="205">
        <f t="shared" si="110"/>
        <v>0.44</v>
      </c>
      <c r="RV12" s="123">
        <f t="shared" si="95"/>
        <v>520</v>
      </c>
      <c r="RW12" s="124">
        <f t="shared" si="95"/>
        <v>799</v>
      </c>
      <c r="RX12" s="124">
        <f t="shared" si="95"/>
        <v>1000</v>
      </c>
      <c r="RY12" s="125">
        <f t="shared" si="96"/>
        <v>0.79900000000000004</v>
      </c>
      <c r="SA12" s="165" t="s">
        <v>53</v>
      </c>
      <c r="SB12" s="324"/>
      <c r="SC12" s="200"/>
      <c r="SD12" s="200"/>
      <c r="SE12" s="200"/>
      <c r="SF12" s="200"/>
      <c r="SG12" s="325">
        <v>42</v>
      </c>
      <c r="SH12" s="326"/>
      <c r="SI12" s="134"/>
      <c r="SJ12" s="134"/>
      <c r="SK12" s="131">
        <f>+SB12+SC12+SD12+SE12+SF12+SG12</f>
        <v>42</v>
      </c>
      <c r="SL12" s="327"/>
      <c r="SM12" s="200"/>
      <c r="SN12" s="200"/>
      <c r="SO12" s="200"/>
      <c r="SP12" s="200"/>
      <c r="SQ12" s="325">
        <v>46</v>
      </c>
      <c r="SR12" s="326"/>
      <c r="SS12" s="134"/>
      <c r="ST12" s="134"/>
      <c r="SU12" s="131">
        <f>+SL12+SM12+SN12+SO12+SP12+SQ12</f>
        <v>46</v>
      </c>
      <c r="SV12" s="327"/>
      <c r="SW12" s="200"/>
      <c r="SX12" s="200"/>
      <c r="SY12" s="200"/>
      <c r="SZ12" s="200"/>
      <c r="TA12" s="325">
        <v>42</v>
      </c>
      <c r="TB12" s="326"/>
      <c r="TC12" s="134"/>
      <c r="TD12" s="134"/>
      <c r="TE12" s="131">
        <f>+TA12+SZ12+SY12+SX12+SW12+SV12</f>
        <v>42</v>
      </c>
      <c r="TF12" s="327"/>
      <c r="TG12" s="200"/>
      <c r="TH12" s="200"/>
      <c r="TI12" s="200"/>
      <c r="TJ12" s="200"/>
      <c r="TK12" s="325">
        <v>65</v>
      </c>
      <c r="TL12" s="326"/>
      <c r="TM12" s="134"/>
      <c r="TN12" s="134"/>
      <c r="TO12" s="131">
        <f t="shared" si="49"/>
        <v>65</v>
      </c>
      <c r="TP12" s="327"/>
      <c r="TQ12" s="200"/>
      <c r="TR12" s="200"/>
      <c r="TS12" s="200"/>
      <c r="TT12" s="200"/>
      <c r="TU12" s="325">
        <v>44</v>
      </c>
      <c r="TV12" s="326"/>
      <c r="TW12" s="134"/>
      <c r="TX12" s="134"/>
      <c r="TY12" s="136">
        <f t="shared" si="50"/>
        <v>44</v>
      </c>
      <c r="TZ12" s="209">
        <f t="shared" si="97"/>
        <v>0</v>
      </c>
      <c r="UA12" s="210">
        <f t="shared" si="97"/>
        <v>239</v>
      </c>
      <c r="UB12" s="210">
        <v>250</v>
      </c>
      <c r="UC12" s="211">
        <f t="shared" si="51"/>
        <v>0.95599999999999996</v>
      </c>
      <c r="UD12" s="140"/>
      <c r="UE12" s="220" t="s">
        <v>53</v>
      </c>
      <c r="UF12" s="324"/>
      <c r="UG12" s="200"/>
      <c r="UH12" s="200"/>
      <c r="UI12" s="200"/>
      <c r="UJ12" s="200"/>
      <c r="UK12" s="325">
        <v>49</v>
      </c>
      <c r="UL12" s="326"/>
      <c r="UM12" s="134"/>
      <c r="UN12" s="134"/>
      <c r="UO12" s="131">
        <f>+UF12+UG12+UH12+UI12+UJ12+UK12</f>
        <v>49</v>
      </c>
      <c r="UP12" s="327"/>
      <c r="UQ12" s="200"/>
      <c r="UR12" s="200"/>
      <c r="US12" s="200"/>
      <c r="UT12" s="200"/>
      <c r="UU12" s="325">
        <v>52</v>
      </c>
      <c r="UV12" s="326"/>
      <c r="UW12" s="134"/>
      <c r="UX12" s="134"/>
      <c r="UY12" s="131">
        <f>+UP12+UQ12+UR12+US12+UT12+UU12</f>
        <v>52</v>
      </c>
      <c r="UZ12" s="327"/>
      <c r="VA12" s="200"/>
      <c r="VB12" s="200"/>
      <c r="VC12" s="200"/>
      <c r="VD12" s="200"/>
      <c r="VE12" s="325">
        <v>52</v>
      </c>
      <c r="VF12" s="326"/>
      <c r="VG12" s="134"/>
      <c r="VH12" s="134"/>
      <c r="VI12" s="131">
        <f>+VE12+VD12+VC12+VB12+VA12+UZ12</f>
        <v>52</v>
      </c>
      <c r="VJ12" s="327"/>
      <c r="VK12" s="200"/>
      <c r="VL12" s="200"/>
      <c r="VM12" s="200"/>
      <c r="VN12" s="200"/>
      <c r="VO12" s="325">
        <v>25</v>
      </c>
      <c r="VP12" s="326"/>
      <c r="VQ12" s="134"/>
      <c r="VR12" s="134"/>
      <c r="VS12" s="131">
        <f t="shared" si="55"/>
        <v>25</v>
      </c>
      <c r="VT12" s="327"/>
      <c r="VU12" s="200"/>
      <c r="VV12" s="200"/>
      <c r="VW12" s="200"/>
      <c r="VX12" s="200"/>
      <c r="VY12" s="325">
        <v>43</v>
      </c>
      <c r="VZ12" s="326"/>
      <c r="WA12" s="134"/>
      <c r="WB12" s="134"/>
      <c r="WC12" s="131">
        <f t="shared" si="56"/>
        <v>43</v>
      </c>
      <c r="WD12" s="216">
        <f t="shared" si="98"/>
        <v>0</v>
      </c>
      <c r="WE12" s="217">
        <f t="shared" si="98"/>
        <v>221</v>
      </c>
      <c r="WF12" s="217">
        <v>153</v>
      </c>
      <c r="WG12" s="218">
        <f t="shared" si="57"/>
        <v>1.4444444444444444</v>
      </c>
      <c r="WH12" s="146"/>
      <c r="WI12" s="220" t="s">
        <v>53</v>
      </c>
      <c r="WJ12" s="324"/>
      <c r="WK12" s="200"/>
      <c r="WL12" s="200"/>
      <c r="WM12" s="200"/>
      <c r="WN12" s="200"/>
      <c r="WO12" s="325">
        <v>52</v>
      </c>
      <c r="WP12" s="326"/>
      <c r="WQ12" s="134"/>
      <c r="WR12" s="134"/>
      <c r="WS12" s="131">
        <f t="shared" si="58"/>
        <v>52</v>
      </c>
      <c r="WT12" s="327"/>
      <c r="WU12" s="200"/>
      <c r="WV12" s="200"/>
      <c r="WW12" s="200"/>
      <c r="WX12" s="200"/>
      <c r="WY12" s="325">
        <v>47</v>
      </c>
      <c r="WZ12" s="326"/>
      <c r="XA12" s="134"/>
      <c r="XB12" s="134"/>
      <c r="XC12" s="131">
        <f>+WT12+WU12+WV12+WW12+WX12+WY12</f>
        <v>47</v>
      </c>
      <c r="XD12" s="327"/>
      <c r="XE12" s="200"/>
      <c r="XF12" s="200"/>
      <c r="XG12" s="200"/>
      <c r="XH12" s="200"/>
      <c r="XI12" s="325">
        <v>52</v>
      </c>
      <c r="XJ12" s="326"/>
      <c r="XK12" s="134"/>
      <c r="XL12" s="134"/>
      <c r="XM12" s="131">
        <f>+XI12+XH12+XG12+XF12+XE12+XD12</f>
        <v>52</v>
      </c>
      <c r="XN12" s="327"/>
      <c r="XO12" s="200"/>
      <c r="XP12" s="200"/>
      <c r="XQ12" s="200"/>
      <c r="XR12" s="200"/>
      <c r="XS12" s="325">
        <v>46</v>
      </c>
      <c r="XT12" s="326"/>
      <c r="XU12" s="134"/>
      <c r="XV12" s="134"/>
      <c r="XW12" s="131">
        <f t="shared" si="61"/>
        <v>46</v>
      </c>
      <c r="XX12" s="327"/>
      <c r="XY12" s="200"/>
      <c r="XZ12" s="200"/>
      <c r="YA12" s="200"/>
      <c r="YB12" s="200"/>
      <c r="YC12" s="325">
        <v>53</v>
      </c>
      <c r="YD12" s="326"/>
      <c r="YE12" s="134"/>
      <c r="YF12" s="134"/>
      <c r="YG12" s="131">
        <f t="shared" si="62"/>
        <v>53</v>
      </c>
      <c r="YH12" s="221">
        <f t="shared" si="99"/>
        <v>0</v>
      </c>
      <c r="YI12" s="148">
        <f t="shared" si="99"/>
        <v>250</v>
      </c>
      <c r="YJ12" s="222">
        <v>250</v>
      </c>
      <c r="YK12" s="223">
        <f t="shared" si="63"/>
        <v>1</v>
      </c>
      <c r="YL12" s="150"/>
      <c r="YM12" s="328"/>
      <c r="YN12" s="200"/>
      <c r="YO12" s="200"/>
      <c r="YP12" s="200"/>
      <c r="YQ12" s="200"/>
      <c r="YR12" s="325">
        <v>48</v>
      </c>
      <c r="YS12" s="326"/>
      <c r="YT12" s="134"/>
      <c r="YU12" s="134"/>
      <c r="YV12" s="131">
        <f>+YM12+YN12+YO12+YP12+YQ12+YR12</f>
        <v>48</v>
      </c>
      <c r="YW12" s="327"/>
      <c r="YX12" s="200"/>
      <c r="YY12" s="200"/>
      <c r="YZ12" s="200"/>
      <c r="ZA12" s="200"/>
      <c r="ZB12" s="325">
        <v>43</v>
      </c>
      <c r="ZC12" s="326"/>
      <c r="ZD12" s="134"/>
      <c r="ZE12" s="134"/>
      <c r="ZF12" s="131">
        <f>+YW12+YX12+YY12+YZ12+ZA12+ZB12</f>
        <v>43</v>
      </c>
      <c r="ZG12" s="327"/>
      <c r="ZH12" s="200"/>
      <c r="ZI12" s="200"/>
      <c r="ZJ12" s="200"/>
      <c r="ZK12" s="200"/>
      <c r="ZL12" s="325">
        <v>57</v>
      </c>
      <c r="ZM12" s="326"/>
      <c r="ZN12" s="134"/>
      <c r="ZO12" s="134"/>
      <c r="ZP12" s="131">
        <f>+ZL12+ZK12+ZJ12+ZI12+ZH12+ZG12</f>
        <v>57</v>
      </c>
      <c r="ZQ12" s="327"/>
      <c r="ZR12" s="200"/>
      <c r="ZS12" s="200"/>
      <c r="ZT12" s="200"/>
      <c r="ZU12" s="200"/>
      <c r="ZV12" s="325">
        <v>40</v>
      </c>
      <c r="ZW12" s="326"/>
      <c r="ZX12" s="134"/>
      <c r="ZY12" s="134"/>
      <c r="ZZ12" s="131">
        <f t="shared" si="67"/>
        <v>40</v>
      </c>
      <c r="AAA12" s="327"/>
      <c r="AAB12" s="200"/>
      <c r="AAC12" s="200"/>
      <c r="AAD12" s="200"/>
      <c r="AAE12" s="200"/>
      <c r="AAF12" s="325">
        <v>41</v>
      </c>
      <c r="AAG12" s="326"/>
      <c r="AAH12" s="134"/>
      <c r="AAI12" s="134"/>
      <c r="AAJ12" s="131">
        <f t="shared" si="68"/>
        <v>41</v>
      </c>
      <c r="AAK12" s="226">
        <f t="shared" si="69"/>
        <v>229</v>
      </c>
      <c r="AAL12" s="226">
        <v>250</v>
      </c>
      <c r="AAM12" s="227">
        <f t="shared" si="70"/>
        <v>0.91600000000000004</v>
      </c>
      <c r="AAN12" s="329" t="s">
        <v>53</v>
      </c>
      <c r="AAO12" s="324"/>
      <c r="AAP12" s="200"/>
      <c r="AAQ12" s="200"/>
      <c r="AAR12" s="200"/>
      <c r="AAS12" s="200"/>
      <c r="AAT12" s="325"/>
      <c r="AAU12" s="326"/>
      <c r="AAV12" s="134"/>
      <c r="AAW12" s="134"/>
      <c r="AAX12" s="155"/>
      <c r="AAY12" s="131">
        <f>+AAO12+AAP12+AAQ12+AAR12+AAS12+AAT12</f>
        <v>0</v>
      </c>
      <c r="AAZ12" s="327"/>
      <c r="ABA12" s="200"/>
      <c r="ABB12" s="200"/>
      <c r="ABC12" s="200"/>
      <c r="ABD12" s="200"/>
      <c r="ABE12" s="325">
        <v>45</v>
      </c>
      <c r="ABF12" s="326"/>
      <c r="ABG12" s="134"/>
      <c r="ABH12" s="134"/>
      <c r="ABI12" s="131">
        <f t="shared" si="71"/>
        <v>45</v>
      </c>
      <c r="ABJ12" s="327"/>
      <c r="ABK12" s="200"/>
      <c r="ABL12" s="200"/>
      <c r="ABM12" s="200"/>
      <c r="ABN12" s="200"/>
      <c r="ABO12" s="325"/>
      <c r="ABP12" s="326"/>
      <c r="ABQ12" s="134"/>
      <c r="ABR12" s="134"/>
      <c r="ABS12" s="131">
        <f>+ABO12+ABN12+ABM12+ABL12+ABK12+ABJ12</f>
        <v>0</v>
      </c>
      <c r="ABT12" s="327"/>
      <c r="ABU12" s="200"/>
      <c r="ABV12" s="200"/>
      <c r="ABW12" s="200"/>
      <c r="ABX12" s="200"/>
      <c r="ABY12" s="325">
        <v>34</v>
      </c>
      <c r="ABZ12" s="326"/>
      <c r="ACA12" s="134"/>
      <c r="ACB12" s="134"/>
      <c r="ACC12" s="131">
        <f t="shared" si="73"/>
        <v>34</v>
      </c>
      <c r="ACD12" s="327"/>
      <c r="ACE12" s="200"/>
      <c r="ACF12" s="200"/>
      <c r="ACG12" s="200"/>
      <c r="ACH12" s="200"/>
      <c r="ACI12" s="325">
        <v>41</v>
      </c>
      <c r="ACJ12" s="326"/>
      <c r="ACK12" s="134"/>
      <c r="ACL12" s="134"/>
      <c r="ACM12" s="131">
        <f t="shared" si="74"/>
        <v>41</v>
      </c>
      <c r="ACN12" s="156">
        <f t="shared" si="75"/>
        <v>0</v>
      </c>
      <c r="ACO12" s="157"/>
      <c r="ACP12" s="229">
        <f t="shared" si="100"/>
        <v>120</v>
      </c>
      <c r="ACQ12" s="229">
        <v>150</v>
      </c>
      <c r="ACR12" s="230">
        <f t="shared" si="101"/>
        <v>0.8</v>
      </c>
      <c r="ACS12" s="231">
        <f t="shared" si="76"/>
        <v>1059</v>
      </c>
      <c r="ACT12" s="207">
        <f t="shared" si="76"/>
        <v>1053</v>
      </c>
      <c r="ACU12" s="208">
        <f t="shared" si="102"/>
        <v>1.0056980056980056</v>
      </c>
      <c r="ACW12" s="163">
        <f t="shared" si="103"/>
        <v>0.89267711301044628</v>
      </c>
      <c r="ACX12" s="5">
        <v>3</v>
      </c>
    </row>
    <row r="13" spans="1:778" s="102" customFormat="1" x14ac:dyDescent="0.35">
      <c r="A13" s="51" t="s">
        <v>52</v>
      </c>
      <c r="B13" s="165" t="s">
        <v>91</v>
      </c>
      <c r="C13" s="307"/>
      <c r="D13" s="308"/>
      <c r="E13" s="308"/>
      <c r="F13" s="308">
        <v>13</v>
      </c>
      <c r="G13" s="308"/>
      <c r="H13" s="309">
        <v>24</v>
      </c>
      <c r="I13" s="310"/>
      <c r="J13" s="57"/>
      <c r="K13" s="58">
        <f t="shared" si="0"/>
        <v>37</v>
      </c>
      <c r="L13" s="338"/>
      <c r="M13" s="339"/>
      <c r="N13" s="339"/>
      <c r="O13" s="339"/>
      <c r="P13" s="339"/>
      <c r="Q13" s="340">
        <v>45</v>
      </c>
      <c r="R13" s="310"/>
      <c r="S13" s="57"/>
      <c r="T13" s="58">
        <f t="shared" si="1"/>
        <v>45</v>
      </c>
      <c r="U13" s="314"/>
      <c r="V13" s="315"/>
      <c r="W13" s="315"/>
      <c r="X13" s="315"/>
      <c r="Y13" s="315"/>
      <c r="Z13" s="316"/>
      <c r="AA13" s="317"/>
      <c r="AB13" s="66"/>
      <c r="AC13" s="67">
        <f t="shared" si="2"/>
        <v>0</v>
      </c>
      <c r="AD13" s="338"/>
      <c r="AE13" s="339"/>
      <c r="AF13" s="339"/>
      <c r="AG13" s="339">
        <v>14</v>
      </c>
      <c r="AH13" s="339"/>
      <c r="AI13" s="340">
        <v>14</v>
      </c>
      <c r="AJ13" s="310"/>
      <c r="AK13" s="57"/>
      <c r="AL13" s="88">
        <f t="shared" si="3"/>
        <v>28</v>
      </c>
      <c r="AM13" s="338"/>
      <c r="AN13" s="339"/>
      <c r="AO13" s="339"/>
      <c r="AP13" s="339">
        <v>13</v>
      </c>
      <c r="AQ13" s="339"/>
      <c r="AR13" s="341">
        <v>10</v>
      </c>
      <c r="AS13" s="310"/>
      <c r="AT13" s="57"/>
      <c r="AU13" s="58">
        <f t="shared" si="4"/>
        <v>23</v>
      </c>
      <c r="AV13" s="81">
        <v>270</v>
      </c>
      <c r="AW13" s="82">
        <f t="shared" si="77"/>
        <v>133</v>
      </c>
      <c r="AX13" s="82">
        <v>200</v>
      </c>
      <c r="AY13" s="172">
        <f t="shared" si="5"/>
        <v>0.66500000000000004</v>
      </c>
      <c r="AZ13" s="84"/>
      <c r="BA13" s="307"/>
      <c r="BB13" s="308"/>
      <c r="BC13" s="308"/>
      <c r="BD13" s="308"/>
      <c r="BE13" s="308"/>
      <c r="BF13" s="309">
        <f>20+23</f>
        <v>43</v>
      </c>
      <c r="BG13" s="310"/>
      <c r="BH13" s="57"/>
      <c r="BI13" s="86">
        <f t="shared" si="6"/>
        <v>43</v>
      </c>
      <c r="BJ13" s="318"/>
      <c r="BK13" s="308"/>
      <c r="BL13" s="308"/>
      <c r="BM13" s="308">
        <v>26</v>
      </c>
      <c r="BN13" s="308"/>
      <c r="BO13" s="309">
        <f>26+15</f>
        <v>41</v>
      </c>
      <c r="BP13" s="310"/>
      <c r="BQ13" s="57"/>
      <c r="BR13" s="58">
        <f t="shared" si="7"/>
        <v>67</v>
      </c>
      <c r="BS13" s="319"/>
      <c r="BT13" s="308"/>
      <c r="BU13" s="308"/>
      <c r="BV13" s="308">
        <v>24</v>
      </c>
      <c r="BW13" s="308">
        <v>3</v>
      </c>
      <c r="BX13" s="309"/>
      <c r="BY13" s="310"/>
      <c r="BZ13" s="57"/>
      <c r="CA13" s="58">
        <f t="shared" si="105"/>
        <v>27</v>
      </c>
      <c r="CB13" s="338"/>
      <c r="CC13" s="339"/>
      <c r="CD13" s="339"/>
      <c r="CE13" s="339"/>
      <c r="CF13" s="339"/>
      <c r="CG13" s="340">
        <f>18+13</f>
        <v>31</v>
      </c>
      <c r="CH13" s="310"/>
      <c r="CI13" s="57"/>
      <c r="CJ13" s="88">
        <f t="shared" si="106"/>
        <v>31</v>
      </c>
      <c r="CK13" s="338"/>
      <c r="CL13" s="339"/>
      <c r="CM13" s="339"/>
      <c r="CN13" s="339"/>
      <c r="CO13" s="339"/>
      <c r="CP13" s="341">
        <v>28</v>
      </c>
      <c r="CQ13" s="310"/>
      <c r="CR13" s="57"/>
      <c r="CS13" s="91">
        <f t="shared" si="78"/>
        <v>28</v>
      </c>
      <c r="CT13" s="92">
        <v>329</v>
      </c>
      <c r="CU13" s="93">
        <f t="shared" si="79"/>
        <v>196</v>
      </c>
      <c r="CV13" s="93">
        <v>250</v>
      </c>
      <c r="CW13" s="175">
        <f t="shared" si="8"/>
        <v>0.78400000000000003</v>
      </c>
      <c r="CX13" s="95"/>
      <c r="CY13" s="307"/>
      <c r="CZ13" s="308"/>
      <c r="DA13" s="308"/>
      <c r="DB13" s="308"/>
      <c r="DC13" s="308"/>
      <c r="DD13" s="309">
        <f>20+11+5</f>
        <v>36</v>
      </c>
      <c r="DE13" s="310"/>
      <c r="DF13" s="57"/>
      <c r="DG13" s="58">
        <f t="shared" si="9"/>
        <v>36</v>
      </c>
      <c r="DH13" s="319"/>
      <c r="DI13" s="308"/>
      <c r="DJ13" s="308"/>
      <c r="DK13" s="308">
        <v>18</v>
      </c>
      <c r="DL13" s="308"/>
      <c r="DM13" s="309">
        <v>8</v>
      </c>
      <c r="DN13" s="310"/>
      <c r="DO13" s="57"/>
      <c r="DP13" s="58">
        <f t="shared" si="10"/>
        <v>26</v>
      </c>
      <c r="DQ13" s="319"/>
      <c r="DR13" s="308"/>
      <c r="DS13" s="308"/>
      <c r="DT13" s="308"/>
      <c r="DU13" s="308"/>
      <c r="DV13" s="309">
        <v>17</v>
      </c>
      <c r="DW13" s="310"/>
      <c r="DX13" s="57"/>
      <c r="DY13" s="58">
        <f t="shared" si="80"/>
        <v>17</v>
      </c>
      <c r="DZ13" s="338"/>
      <c r="EA13" s="339"/>
      <c r="EB13" s="339"/>
      <c r="EC13" s="339">
        <v>36</v>
      </c>
      <c r="ED13" s="339"/>
      <c r="EE13" s="340"/>
      <c r="EF13" s="310"/>
      <c r="EG13" s="57"/>
      <c r="EH13" s="96">
        <f t="shared" si="81"/>
        <v>36</v>
      </c>
      <c r="EI13" s="351"/>
      <c r="EJ13" s="339"/>
      <c r="EK13" s="339"/>
      <c r="EL13" s="339"/>
      <c r="EM13" s="339"/>
      <c r="EN13" s="341">
        <v>24</v>
      </c>
      <c r="EO13" s="310"/>
      <c r="EP13" s="57"/>
      <c r="EQ13" s="98">
        <f t="shared" si="82"/>
        <v>24</v>
      </c>
      <c r="ER13" s="99">
        <v>367</v>
      </c>
      <c r="ES13" s="100">
        <f t="shared" ref="ES13:ES30" si="111">+EQ13+EH13+DY13+DP13+DG13</f>
        <v>139</v>
      </c>
      <c r="ET13" s="346">
        <v>250</v>
      </c>
      <c r="EU13" s="177">
        <f t="shared" si="11"/>
        <v>0.55600000000000005</v>
      </c>
      <c r="EW13" s="307"/>
      <c r="EX13" s="308"/>
      <c r="EY13" s="308"/>
      <c r="EZ13" s="308"/>
      <c r="FA13" s="308"/>
      <c r="FB13" s="309">
        <v>34</v>
      </c>
      <c r="FC13" s="310"/>
      <c r="FD13" s="57"/>
      <c r="FE13" s="58">
        <f t="shared" si="12"/>
        <v>34</v>
      </c>
      <c r="FF13" s="319"/>
      <c r="FG13" s="308"/>
      <c r="FH13" s="308"/>
      <c r="FI13" s="308"/>
      <c r="FJ13" s="308"/>
      <c r="FK13" s="309">
        <v>30</v>
      </c>
      <c r="FL13" s="310"/>
      <c r="FM13" s="57"/>
      <c r="FN13" s="58">
        <f t="shared" si="13"/>
        <v>30</v>
      </c>
      <c r="FO13" s="319"/>
      <c r="FP13" s="308"/>
      <c r="FQ13" s="308"/>
      <c r="FR13" s="308">
        <v>45</v>
      </c>
      <c r="FS13" s="308"/>
      <c r="FT13" s="309">
        <v>6</v>
      </c>
      <c r="FU13" s="310"/>
      <c r="FV13" s="57"/>
      <c r="FW13" s="58">
        <f t="shared" si="83"/>
        <v>51</v>
      </c>
      <c r="FX13" s="338"/>
      <c r="FY13" s="339"/>
      <c r="FZ13" s="339"/>
      <c r="GA13" s="339"/>
      <c r="GB13" s="339"/>
      <c r="GC13" s="340">
        <v>22</v>
      </c>
      <c r="GD13" s="310"/>
      <c r="GE13" s="57"/>
      <c r="GF13" s="58">
        <f t="shared" si="84"/>
        <v>22</v>
      </c>
      <c r="GG13" s="352"/>
      <c r="GH13" s="353"/>
      <c r="GI13" s="353"/>
      <c r="GJ13" s="353"/>
      <c r="GK13" s="353"/>
      <c r="GL13" s="354">
        <v>0</v>
      </c>
      <c r="GM13" s="355"/>
      <c r="GN13" s="356"/>
      <c r="GO13" s="58">
        <f t="shared" si="85"/>
        <v>0</v>
      </c>
      <c r="GP13" s="103">
        <v>260</v>
      </c>
      <c r="GQ13" s="104">
        <f t="shared" si="86"/>
        <v>137</v>
      </c>
      <c r="GR13" s="104">
        <v>200</v>
      </c>
      <c r="GS13" s="178">
        <f t="shared" si="14"/>
        <v>0.68500000000000005</v>
      </c>
      <c r="GT13" s="307"/>
      <c r="GU13" s="308"/>
      <c r="GV13" s="308"/>
      <c r="GW13" s="308"/>
      <c r="GX13" s="308"/>
      <c r="GY13" s="309"/>
      <c r="GZ13" s="310"/>
      <c r="HA13" s="57"/>
      <c r="HB13" s="57"/>
      <c r="HC13" s="58">
        <f t="shared" si="15"/>
        <v>0</v>
      </c>
      <c r="HD13" s="319"/>
      <c r="HE13" s="308"/>
      <c r="HF13" s="308"/>
      <c r="HG13" s="308"/>
      <c r="HH13" s="308"/>
      <c r="HI13" s="309"/>
      <c r="HJ13" s="310"/>
      <c r="HK13" s="57"/>
      <c r="HL13" s="57"/>
      <c r="HM13" s="58">
        <f t="shared" si="16"/>
        <v>0</v>
      </c>
      <c r="HN13" s="319"/>
      <c r="HO13" s="308"/>
      <c r="HP13" s="308"/>
      <c r="HQ13" s="308"/>
      <c r="HR13" s="308"/>
      <c r="HS13" s="309"/>
      <c r="HT13" s="310"/>
      <c r="HU13" s="57"/>
      <c r="HV13" s="57"/>
      <c r="HW13" s="58">
        <f t="shared" si="17"/>
        <v>0</v>
      </c>
      <c r="HX13" s="338"/>
      <c r="HY13" s="339"/>
      <c r="HZ13" s="339"/>
      <c r="IA13" s="339"/>
      <c r="IB13" s="339"/>
      <c r="IC13" s="340"/>
      <c r="ID13" s="310"/>
      <c r="IE13" s="57"/>
      <c r="IF13" s="57"/>
      <c r="IG13" s="88">
        <f t="shared" si="18"/>
        <v>0</v>
      </c>
      <c r="IH13" s="338"/>
      <c r="II13" s="339"/>
      <c r="IJ13" s="339"/>
      <c r="IK13" s="339"/>
      <c r="IL13" s="339"/>
      <c r="IM13" s="341"/>
      <c r="IN13" s="310"/>
      <c r="IO13" s="57"/>
      <c r="IP13" s="57"/>
      <c r="IQ13" s="58">
        <f t="shared" si="19"/>
        <v>0</v>
      </c>
      <c r="IR13" s="106"/>
      <c r="IS13" s="107"/>
      <c r="IT13" s="107"/>
      <c r="IU13" s="179"/>
      <c r="IV13" s="95"/>
      <c r="IW13" s="109">
        <f t="shared" si="87"/>
        <v>1226</v>
      </c>
      <c r="IX13" s="110">
        <f t="shared" si="87"/>
        <v>605</v>
      </c>
      <c r="IY13" s="110">
        <f t="shared" si="87"/>
        <v>900</v>
      </c>
      <c r="IZ13" s="357">
        <f t="shared" si="20"/>
        <v>0.67222222222222228</v>
      </c>
      <c r="JB13" s="182" t="s">
        <v>54</v>
      </c>
      <c r="JC13" s="327"/>
      <c r="JD13" s="200"/>
      <c r="JE13" s="200"/>
      <c r="JF13" s="200"/>
      <c r="JG13" s="200"/>
      <c r="JH13" s="325">
        <v>66</v>
      </c>
      <c r="JI13" s="201"/>
      <c r="JJ13" s="134"/>
      <c r="JK13" s="134"/>
      <c r="JL13" s="188">
        <f>+JC13+JD13+JE13+JF13+JG13+JH13</f>
        <v>66</v>
      </c>
      <c r="JM13" s="358"/>
      <c r="JN13" s="200"/>
      <c r="JO13" s="200"/>
      <c r="JP13" s="200"/>
      <c r="JQ13" s="200"/>
      <c r="JR13" s="325">
        <v>16</v>
      </c>
      <c r="JS13" s="201"/>
      <c r="JT13" s="134"/>
      <c r="JU13" s="134"/>
      <c r="JV13" s="188">
        <f>+JM13+JN13+JO13+JP13+JQ13+JR13</f>
        <v>16</v>
      </c>
      <c r="JW13" s="358"/>
      <c r="JX13" s="200"/>
      <c r="JY13" s="200"/>
      <c r="JZ13" s="200">
        <v>7</v>
      </c>
      <c r="KA13" s="200"/>
      <c r="KB13" s="325">
        <v>16</v>
      </c>
      <c r="KC13" s="201"/>
      <c r="KD13" s="134"/>
      <c r="KE13" s="134"/>
      <c r="KF13" s="188">
        <f t="shared" si="23"/>
        <v>23</v>
      </c>
      <c r="KG13" s="358"/>
      <c r="KH13" s="200"/>
      <c r="KI13" s="200"/>
      <c r="KJ13" s="200">
        <v>12</v>
      </c>
      <c r="KK13" s="200"/>
      <c r="KL13" s="325">
        <v>12</v>
      </c>
      <c r="KM13" s="201"/>
      <c r="KN13" s="134">
        <v>1</v>
      </c>
      <c r="KO13" s="134"/>
      <c r="KP13" s="204">
        <f t="shared" si="24"/>
        <v>24</v>
      </c>
      <c r="KQ13" s="358"/>
      <c r="KR13" s="200"/>
      <c r="KS13" s="200"/>
      <c r="KT13" s="200">
        <v>30</v>
      </c>
      <c r="KU13" s="200"/>
      <c r="KV13" s="325">
        <v>12</v>
      </c>
      <c r="KW13" s="203"/>
      <c r="KX13" s="134">
        <v>339</v>
      </c>
      <c r="KY13" s="134"/>
      <c r="KZ13" s="188">
        <f t="shared" si="25"/>
        <v>42</v>
      </c>
      <c r="LA13" s="190">
        <f t="shared" si="107"/>
        <v>339</v>
      </c>
      <c r="LB13" s="191">
        <f t="shared" si="26"/>
        <v>171</v>
      </c>
      <c r="LC13" s="359">
        <v>250</v>
      </c>
      <c r="LD13" s="191">
        <f t="shared" si="88"/>
        <v>-79</v>
      </c>
      <c r="LE13" s="192">
        <f t="shared" si="89"/>
        <v>0.68400000000000005</v>
      </c>
      <c r="LF13" s="193"/>
      <c r="LG13" s="194" t="s">
        <v>54</v>
      </c>
      <c r="LH13" s="360"/>
      <c r="LI13" s="361"/>
      <c r="LJ13" s="361"/>
      <c r="LK13" s="361">
        <v>40</v>
      </c>
      <c r="LL13" s="361"/>
      <c r="LM13" s="362">
        <v>6</v>
      </c>
      <c r="LN13" s="363"/>
      <c r="LO13" s="187"/>
      <c r="LP13" s="187"/>
      <c r="LQ13" s="188">
        <f>+LH13+LI13+LJ13+LK13+LL13+LM13</f>
        <v>46</v>
      </c>
      <c r="LR13" s="364"/>
      <c r="LS13" s="361"/>
      <c r="LT13" s="361"/>
      <c r="LU13" s="361">
        <v>34</v>
      </c>
      <c r="LV13" s="361"/>
      <c r="LW13" s="362">
        <v>12</v>
      </c>
      <c r="LX13" s="363"/>
      <c r="LY13" s="187"/>
      <c r="LZ13" s="187"/>
      <c r="MA13" s="188">
        <f>+LR13+LS13+LT13+LU13+LV13+LW13</f>
        <v>46</v>
      </c>
      <c r="MB13" s="364"/>
      <c r="MC13" s="361"/>
      <c r="MD13" s="361"/>
      <c r="ME13" s="361"/>
      <c r="MF13" s="361"/>
      <c r="MG13" s="362">
        <v>16</v>
      </c>
      <c r="MH13" s="363"/>
      <c r="MI13" s="187"/>
      <c r="MJ13" s="187"/>
      <c r="MK13" s="188">
        <f t="shared" si="29"/>
        <v>16</v>
      </c>
      <c r="ML13" s="364"/>
      <c r="MM13" s="361"/>
      <c r="MN13" s="361"/>
      <c r="MO13" s="361">
        <v>14</v>
      </c>
      <c r="MP13" s="361"/>
      <c r="MQ13" s="362">
        <v>5</v>
      </c>
      <c r="MR13" s="363"/>
      <c r="MS13" s="187"/>
      <c r="MT13" s="187"/>
      <c r="MU13" s="188">
        <f t="shared" si="30"/>
        <v>19</v>
      </c>
      <c r="MV13" s="364"/>
      <c r="MW13" s="361"/>
      <c r="MX13" s="361"/>
      <c r="MY13" s="361">
        <v>25</v>
      </c>
      <c r="MZ13" s="361"/>
      <c r="NA13" s="362">
        <v>14</v>
      </c>
      <c r="NB13" s="363"/>
      <c r="NC13" s="187">
        <v>485</v>
      </c>
      <c r="ND13" s="187"/>
      <c r="NE13" s="188">
        <f t="shared" si="31"/>
        <v>39</v>
      </c>
      <c r="NF13" s="117">
        <f t="shared" si="90"/>
        <v>485</v>
      </c>
      <c r="NG13" s="195">
        <f t="shared" si="32"/>
        <v>166</v>
      </c>
      <c r="NH13" s="365">
        <v>100</v>
      </c>
      <c r="NI13" s="195">
        <f t="shared" si="91"/>
        <v>66</v>
      </c>
      <c r="NJ13" s="196">
        <f t="shared" si="108"/>
        <v>1.66</v>
      </c>
      <c r="NK13" s="366"/>
      <c r="NL13" s="194" t="s">
        <v>54</v>
      </c>
      <c r="NM13" s="360"/>
      <c r="NN13" s="361"/>
      <c r="NO13" s="361"/>
      <c r="NP13" s="361"/>
      <c r="NQ13" s="361">
        <v>34</v>
      </c>
      <c r="NR13" s="362"/>
      <c r="NS13" s="363"/>
      <c r="NT13" s="187"/>
      <c r="NU13" s="187"/>
      <c r="NV13" s="188">
        <f>+NM13+NN13+NO13+NP13+NQ13+NR13</f>
        <v>34</v>
      </c>
      <c r="NW13" s="364"/>
      <c r="NX13" s="361"/>
      <c r="NY13" s="361"/>
      <c r="NZ13" s="361"/>
      <c r="OA13" s="361"/>
      <c r="OB13" s="362"/>
      <c r="OC13" s="363"/>
      <c r="OD13" s="187"/>
      <c r="OE13" s="187"/>
      <c r="OF13" s="188">
        <f>+NW13+NX13+NY13+NZ13+OA13+OB13</f>
        <v>0</v>
      </c>
      <c r="OG13" s="364"/>
      <c r="OH13" s="361"/>
      <c r="OI13" s="361"/>
      <c r="OJ13" s="361"/>
      <c r="OK13" s="361"/>
      <c r="OL13" s="362">
        <v>31</v>
      </c>
      <c r="OM13" s="363"/>
      <c r="ON13" s="187"/>
      <c r="OO13" s="187"/>
      <c r="OP13" s="188">
        <f t="shared" si="35"/>
        <v>31</v>
      </c>
      <c r="OQ13" s="364"/>
      <c r="OR13" s="361"/>
      <c r="OS13" s="361"/>
      <c r="OT13" s="361"/>
      <c r="OU13" s="361"/>
      <c r="OV13" s="362">
        <v>40</v>
      </c>
      <c r="OW13" s="363"/>
      <c r="OX13" s="187"/>
      <c r="OY13" s="187"/>
      <c r="OZ13" s="188">
        <f t="shared" si="36"/>
        <v>40</v>
      </c>
      <c r="PA13" s="364"/>
      <c r="PB13" s="361"/>
      <c r="PC13" s="361"/>
      <c r="PD13" s="361">
        <v>21</v>
      </c>
      <c r="PE13" s="361"/>
      <c r="PF13" s="362">
        <v>10</v>
      </c>
      <c r="PG13" s="363"/>
      <c r="PH13" s="187"/>
      <c r="PI13" s="187"/>
      <c r="PJ13" s="188">
        <f t="shared" si="37"/>
        <v>31</v>
      </c>
      <c r="PK13" s="99">
        <f t="shared" si="38"/>
        <v>0</v>
      </c>
      <c r="PL13" s="197">
        <f t="shared" si="39"/>
        <v>136</v>
      </c>
      <c r="PM13" s="367">
        <v>100</v>
      </c>
      <c r="PN13" s="197">
        <f t="shared" si="92"/>
        <v>36</v>
      </c>
      <c r="PO13" s="198">
        <f t="shared" si="109"/>
        <v>1.36</v>
      </c>
      <c r="PP13" s="366"/>
      <c r="PQ13" s="194" t="s">
        <v>54</v>
      </c>
      <c r="PR13" s="360"/>
      <c r="PS13" s="361"/>
      <c r="PT13" s="361"/>
      <c r="PU13" s="361">
        <v>15</v>
      </c>
      <c r="PV13" s="361"/>
      <c r="PW13" s="362">
        <v>20</v>
      </c>
      <c r="PX13" s="363"/>
      <c r="PY13" s="187"/>
      <c r="PZ13" s="187"/>
      <c r="QA13" s="188">
        <f>+PR13+PS13+PT13+PU13+PV13+PW13</f>
        <v>35</v>
      </c>
      <c r="QB13" s="364"/>
      <c r="QC13" s="361"/>
      <c r="QD13" s="361"/>
      <c r="QE13" s="361"/>
      <c r="QF13" s="361"/>
      <c r="QG13" s="362">
        <v>9</v>
      </c>
      <c r="QH13" s="363"/>
      <c r="QI13" s="187"/>
      <c r="QJ13" s="187"/>
      <c r="QK13" s="188">
        <f>+QB13+QC13+QD13+QE13+QF13+QG13</f>
        <v>9</v>
      </c>
      <c r="QL13" s="364"/>
      <c r="QM13" s="361"/>
      <c r="QN13" s="361"/>
      <c r="QO13" s="361">
        <v>23</v>
      </c>
      <c r="QP13" s="361"/>
      <c r="QQ13" s="362">
        <v>40</v>
      </c>
      <c r="QR13" s="363"/>
      <c r="QS13" s="187"/>
      <c r="QT13" s="187"/>
      <c r="QU13" s="188">
        <f t="shared" si="42"/>
        <v>63</v>
      </c>
      <c r="QV13" s="364"/>
      <c r="QW13" s="361"/>
      <c r="QX13" s="361"/>
      <c r="QY13" s="361">
        <v>19</v>
      </c>
      <c r="QZ13" s="361"/>
      <c r="RA13" s="362">
        <v>57</v>
      </c>
      <c r="RB13" s="363"/>
      <c r="RC13" s="187"/>
      <c r="RD13" s="187"/>
      <c r="RE13" s="188">
        <f t="shared" si="43"/>
        <v>76</v>
      </c>
      <c r="RF13" s="364"/>
      <c r="RG13" s="361"/>
      <c r="RH13" s="361"/>
      <c r="RI13" s="361">
        <v>30</v>
      </c>
      <c r="RJ13" s="361"/>
      <c r="RK13" s="362">
        <v>22</v>
      </c>
      <c r="RL13" s="363"/>
      <c r="RM13" s="187">
        <v>474</v>
      </c>
      <c r="RN13" s="187"/>
      <c r="RO13" s="188">
        <f t="shared" si="44"/>
        <v>52</v>
      </c>
      <c r="RP13" s="121">
        <f t="shared" si="93"/>
        <v>474</v>
      </c>
      <c r="RQ13" s="368">
        <f t="shared" si="45"/>
        <v>235</v>
      </c>
      <c r="RR13" s="369">
        <v>100</v>
      </c>
      <c r="RS13" s="368">
        <f t="shared" si="94"/>
        <v>135</v>
      </c>
      <c r="RT13" s="205">
        <f t="shared" si="110"/>
        <v>2.35</v>
      </c>
      <c r="RU13" s="140"/>
      <c r="RV13" s="123">
        <f t="shared" si="95"/>
        <v>1298</v>
      </c>
      <c r="RW13" s="207">
        <f t="shared" si="95"/>
        <v>708</v>
      </c>
      <c r="RX13" s="207">
        <f t="shared" si="95"/>
        <v>550</v>
      </c>
      <c r="RY13" s="208">
        <f t="shared" si="96"/>
        <v>1.2872727272727273</v>
      </c>
      <c r="SA13" s="165" t="s">
        <v>54</v>
      </c>
      <c r="SB13" s="370"/>
      <c r="SC13" s="361"/>
      <c r="SD13" s="361"/>
      <c r="SE13" s="361"/>
      <c r="SF13" s="361"/>
      <c r="SG13" s="362">
        <v>46</v>
      </c>
      <c r="SH13" s="371"/>
      <c r="SI13" s="187"/>
      <c r="SJ13" s="187"/>
      <c r="SK13" s="131">
        <f>+SB13+SC13+SD13+SE13+SF13+SG13</f>
        <v>46</v>
      </c>
      <c r="SL13" s="327"/>
      <c r="SM13" s="200"/>
      <c r="SN13" s="200"/>
      <c r="SO13" s="200"/>
      <c r="SP13" s="200"/>
      <c r="SQ13" s="325">
        <v>48</v>
      </c>
      <c r="SR13" s="326"/>
      <c r="SS13" s="134"/>
      <c r="ST13" s="134"/>
      <c r="SU13" s="131">
        <f>+SL13+SM13+SN13+SO13+SP13+SQ13</f>
        <v>48</v>
      </c>
      <c r="SV13" s="327"/>
      <c r="SW13" s="200"/>
      <c r="SX13" s="200"/>
      <c r="SY13" s="200"/>
      <c r="SZ13" s="200"/>
      <c r="TA13" s="325">
        <v>33</v>
      </c>
      <c r="TB13" s="326"/>
      <c r="TC13" s="134"/>
      <c r="TD13" s="134"/>
      <c r="TE13" s="131">
        <f>+TA13+SZ13+SY13+SX13+SW13+SV13</f>
        <v>33</v>
      </c>
      <c r="TF13" s="327"/>
      <c r="TG13" s="200"/>
      <c r="TH13" s="200"/>
      <c r="TI13" s="200"/>
      <c r="TJ13" s="200"/>
      <c r="TK13" s="325">
        <v>30</v>
      </c>
      <c r="TL13" s="326"/>
      <c r="TM13" s="134"/>
      <c r="TN13" s="134"/>
      <c r="TO13" s="131">
        <f t="shared" si="49"/>
        <v>30</v>
      </c>
      <c r="TP13" s="327"/>
      <c r="TQ13" s="200"/>
      <c r="TR13" s="200"/>
      <c r="TS13" s="200"/>
      <c r="TT13" s="200"/>
      <c r="TU13" s="325">
        <v>20</v>
      </c>
      <c r="TV13" s="326"/>
      <c r="TW13" s="134"/>
      <c r="TX13" s="134"/>
      <c r="TY13" s="136">
        <f t="shared" si="50"/>
        <v>20</v>
      </c>
      <c r="TZ13" s="209">
        <f t="shared" si="97"/>
        <v>0</v>
      </c>
      <c r="UA13" s="210">
        <f t="shared" si="97"/>
        <v>177</v>
      </c>
      <c r="UB13" s="210">
        <v>250</v>
      </c>
      <c r="UC13" s="211">
        <f t="shared" si="51"/>
        <v>0.70799999999999996</v>
      </c>
      <c r="UD13" s="140"/>
      <c r="UE13" s="220" t="s">
        <v>54</v>
      </c>
      <c r="UF13" s="324"/>
      <c r="UG13" s="200"/>
      <c r="UH13" s="200"/>
      <c r="UI13" s="200"/>
      <c r="UJ13" s="200"/>
      <c r="UK13" s="325">
        <v>50</v>
      </c>
      <c r="UL13" s="326"/>
      <c r="UM13" s="134"/>
      <c r="UN13" s="134"/>
      <c r="UO13" s="131">
        <f>+UF13+UG13+UH13+UI13+UJ13+UK13</f>
        <v>50</v>
      </c>
      <c r="UP13" s="327"/>
      <c r="UQ13" s="200"/>
      <c r="UR13" s="200"/>
      <c r="US13" s="200"/>
      <c r="UT13" s="200"/>
      <c r="UU13" s="325">
        <v>15</v>
      </c>
      <c r="UV13" s="326"/>
      <c r="UW13" s="134"/>
      <c r="UX13" s="134"/>
      <c r="UY13" s="131">
        <f>+UP13+UQ13+UR13+US13+UT13+UU13</f>
        <v>15</v>
      </c>
      <c r="UZ13" s="327"/>
      <c r="VA13" s="200"/>
      <c r="VB13" s="200"/>
      <c r="VC13" s="200"/>
      <c r="VD13" s="200"/>
      <c r="VE13" s="325">
        <v>30</v>
      </c>
      <c r="VF13" s="326"/>
      <c r="VG13" s="134"/>
      <c r="VH13" s="134"/>
      <c r="VI13" s="131">
        <f>+VE13+VD13+VC13+VB13+VA13+UZ13</f>
        <v>30</v>
      </c>
      <c r="VJ13" s="327"/>
      <c r="VK13" s="200"/>
      <c r="VL13" s="200"/>
      <c r="VM13" s="200"/>
      <c r="VN13" s="200"/>
      <c r="VO13" s="325">
        <v>33</v>
      </c>
      <c r="VP13" s="326"/>
      <c r="VQ13" s="134"/>
      <c r="VR13" s="134"/>
      <c r="VS13" s="131">
        <f t="shared" si="55"/>
        <v>33</v>
      </c>
      <c r="VT13" s="327"/>
      <c r="VU13" s="200"/>
      <c r="VV13" s="200"/>
      <c r="VW13" s="200"/>
      <c r="VX13" s="200"/>
      <c r="VY13" s="325">
        <v>40</v>
      </c>
      <c r="VZ13" s="326"/>
      <c r="WA13" s="134"/>
      <c r="WB13" s="134"/>
      <c r="WC13" s="131">
        <f t="shared" si="56"/>
        <v>40</v>
      </c>
      <c r="WD13" s="216">
        <f t="shared" si="98"/>
        <v>0</v>
      </c>
      <c r="WE13" s="217">
        <f t="shared" si="98"/>
        <v>168</v>
      </c>
      <c r="WF13" s="217">
        <v>95</v>
      </c>
      <c r="WG13" s="218">
        <f t="shared" si="57"/>
        <v>1.7684210526315789</v>
      </c>
      <c r="WH13" s="146"/>
      <c r="WI13" s="220" t="s">
        <v>54</v>
      </c>
      <c r="WJ13" s="324"/>
      <c r="WK13" s="200"/>
      <c r="WL13" s="200"/>
      <c r="WM13" s="200"/>
      <c r="WN13" s="200"/>
      <c r="WO13" s="325">
        <v>34</v>
      </c>
      <c r="WP13" s="326"/>
      <c r="WQ13" s="134"/>
      <c r="WR13" s="134"/>
      <c r="WS13" s="131">
        <f t="shared" si="58"/>
        <v>34</v>
      </c>
      <c r="WT13" s="327"/>
      <c r="WU13" s="200"/>
      <c r="WV13" s="200"/>
      <c r="WW13" s="200"/>
      <c r="WX13" s="200"/>
      <c r="WY13" s="325">
        <v>31</v>
      </c>
      <c r="WZ13" s="326"/>
      <c r="XA13" s="134"/>
      <c r="XB13" s="134"/>
      <c r="XC13" s="131">
        <f>+WT13+WU13+WV13+WW13+WX13+WY13</f>
        <v>31</v>
      </c>
      <c r="XD13" s="327"/>
      <c r="XE13" s="200"/>
      <c r="XF13" s="200"/>
      <c r="XG13" s="200"/>
      <c r="XH13" s="200"/>
      <c r="XI13" s="325">
        <v>36</v>
      </c>
      <c r="XJ13" s="326"/>
      <c r="XK13" s="134"/>
      <c r="XL13" s="134"/>
      <c r="XM13" s="131">
        <f>+XI13+XH13+XG13+XF13+XE13+XD13</f>
        <v>36</v>
      </c>
      <c r="XN13" s="327"/>
      <c r="XO13" s="200"/>
      <c r="XP13" s="200"/>
      <c r="XQ13" s="200"/>
      <c r="XR13" s="200"/>
      <c r="XS13" s="325"/>
      <c r="XT13" s="326"/>
      <c r="XU13" s="134"/>
      <c r="XV13" s="134"/>
      <c r="XW13" s="131">
        <f t="shared" si="61"/>
        <v>0</v>
      </c>
      <c r="XX13" s="327"/>
      <c r="XY13" s="200"/>
      <c r="XZ13" s="200"/>
      <c r="YA13" s="200"/>
      <c r="YB13" s="200"/>
      <c r="YC13" s="325"/>
      <c r="YD13" s="326"/>
      <c r="YE13" s="134"/>
      <c r="YF13" s="134"/>
      <c r="YG13" s="131">
        <f t="shared" si="62"/>
        <v>0</v>
      </c>
      <c r="YH13" s="221">
        <f t="shared" si="99"/>
        <v>0</v>
      </c>
      <c r="YI13" s="148">
        <f t="shared" si="99"/>
        <v>101</v>
      </c>
      <c r="YJ13" s="222">
        <v>100</v>
      </c>
      <c r="YK13" s="223">
        <f t="shared" si="63"/>
        <v>1.01</v>
      </c>
      <c r="YL13" s="224"/>
      <c r="YM13" s="372"/>
      <c r="YN13" s="361"/>
      <c r="YO13" s="361"/>
      <c r="YP13" s="361"/>
      <c r="YQ13" s="361"/>
      <c r="YR13" s="362">
        <v>32</v>
      </c>
      <c r="YS13" s="371"/>
      <c r="YT13" s="187"/>
      <c r="YU13" s="187"/>
      <c r="YV13" s="131">
        <f>+YM13+YN13+YO13+YP13+YQ13+YR13</f>
        <v>32</v>
      </c>
      <c r="YW13" s="327"/>
      <c r="YX13" s="200"/>
      <c r="YY13" s="200"/>
      <c r="YZ13" s="200"/>
      <c r="ZA13" s="200"/>
      <c r="ZB13" s="325">
        <v>9</v>
      </c>
      <c r="ZC13" s="326"/>
      <c r="ZD13" s="134"/>
      <c r="ZE13" s="134"/>
      <c r="ZF13" s="131">
        <f>+YW13+YX13+YY13+YZ13+ZA13+ZB13</f>
        <v>9</v>
      </c>
      <c r="ZG13" s="327"/>
      <c r="ZH13" s="200"/>
      <c r="ZI13" s="200"/>
      <c r="ZJ13" s="200"/>
      <c r="ZK13" s="200"/>
      <c r="ZL13" s="325">
        <v>49</v>
      </c>
      <c r="ZM13" s="326"/>
      <c r="ZN13" s="134"/>
      <c r="ZO13" s="134"/>
      <c r="ZP13" s="131">
        <f>+ZL13+ZK13+ZJ13+ZI13+ZH13+ZG13</f>
        <v>49</v>
      </c>
      <c r="ZQ13" s="327"/>
      <c r="ZR13" s="200"/>
      <c r="ZS13" s="200"/>
      <c r="ZT13" s="200"/>
      <c r="ZU13" s="200"/>
      <c r="ZV13" s="325">
        <v>23</v>
      </c>
      <c r="ZW13" s="326"/>
      <c r="ZX13" s="134"/>
      <c r="ZY13" s="134"/>
      <c r="ZZ13" s="131">
        <f t="shared" si="67"/>
        <v>23</v>
      </c>
      <c r="AAA13" s="327"/>
      <c r="AAB13" s="200"/>
      <c r="AAC13" s="200"/>
      <c r="AAD13" s="200"/>
      <c r="AAE13" s="200"/>
      <c r="AAF13" s="325">
        <v>24</v>
      </c>
      <c r="AAG13" s="326"/>
      <c r="AAH13" s="134"/>
      <c r="AAI13" s="134"/>
      <c r="AAJ13" s="131">
        <f t="shared" si="68"/>
        <v>24</v>
      </c>
      <c r="AAK13" s="226">
        <f t="shared" si="69"/>
        <v>137</v>
      </c>
      <c r="AAL13" s="226">
        <v>100</v>
      </c>
      <c r="AAM13" s="227">
        <f t="shared" si="70"/>
        <v>1.37</v>
      </c>
      <c r="AAN13" s="373" t="s">
        <v>54</v>
      </c>
      <c r="AAO13" s="324"/>
      <c r="AAP13" s="200"/>
      <c r="AAQ13" s="200"/>
      <c r="AAR13" s="200"/>
      <c r="AAS13" s="200"/>
      <c r="AAT13" s="325"/>
      <c r="AAU13" s="326"/>
      <c r="AAV13" s="134"/>
      <c r="AAW13" s="134"/>
      <c r="AAX13" s="155"/>
      <c r="AAY13" s="131">
        <f>+AAO13+AAP13+AAQ13+AAR13+AAS13+AAT13</f>
        <v>0</v>
      </c>
      <c r="AAZ13" s="327"/>
      <c r="ABA13" s="200"/>
      <c r="ABB13" s="200"/>
      <c r="ABC13" s="200"/>
      <c r="ABD13" s="200"/>
      <c r="ABE13" s="325">
        <v>31</v>
      </c>
      <c r="ABF13" s="326"/>
      <c r="ABG13" s="134"/>
      <c r="ABH13" s="134"/>
      <c r="ABI13" s="131">
        <f t="shared" si="71"/>
        <v>31</v>
      </c>
      <c r="ABJ13" s="327"/>
      <c r="ABK13" s="200"/>
      <c r="ABL13" s="200"/>
      <c r="ABM13" s="200"/>
      <c r="ABN13" s="200"/>
      <c r="ABO13" s="325">
        <v>44</v>
      </c>
      <c r="ABP13" s="326"/>
      <c r="ABQ13" s="134"/>
      <c r="ABR13" s="134"/>
      <c r="ABS13" s="131">
        <f>+ABO13+ABN13+ABM13+ABL13+ABK13+ABJ13</f>
        <v>44</v>
      </c>
      <c r="ABT13" s="327"/>
      <c r="ABU13" s="200"/>
      <c r="ABV13" s="200"/>
      <c r="ABW13" s="200"/>
      <c r="ABX13" s="200"/>
      <c r="ABY13" s="325">
        <v>21</v>
      </c>
      <c r="ABZ13" s="326"/>
      <c r="ACA13" s="134"/>
      <c r="ACB13" s="134"/>
      <c r="ACC13" s="131">
        <f t="shared" si="73"/>
        <v>21</v>
      </c>
      <c r="ACD13" s="327"/>
      <c r="ACE13" s="200"/>
      <c r="ACF13" s="200"/>
      <c r="ACG13" s="200"/>
      <c r="ACH13" s="200"/>
      <c r="ACI13" s="325">
        <v>37</v>
      </c>
      <c r="ACJ13" s="326"/>
      <c r="ACK13" s="134"/>
      <c r="ACL13" s="134"/>
      <c r="ACM13" s="131">
        <f t="shared" si="74"/>
        <v>37</v>
      </c>
      <c r="ACN13" s="156">
        <f t="shared" si="75"/>
        <v>0</v>
      </c>
      <c r="ACO13" s="157"/>
      <c r="ACP13" s="229">
        <f t="shared" si="100"/>
        <v>133</v>
      </c>
      <c r="ACQ13" s="229">
        <v>75</v>
      </c>
      <c r="ACR13" s="230">
        <f t="shared" si="101"/>
        <v>1.7733333333333334</v>
      </c>
      <c r="ACS13" s="231">
        <f t="shared" si="76"/>
        <v>716</v>
      </c>
      <c r="ACT13" s="207">
        <f t="shared" si="76"/>
        <v>620</v>
      </c>
      <c r="ACU13" s="208">
        <f t="shared" si="102"/>
        <v>1.1548387096774193</v>
      </c>
      <c r="ACW13" s="163">
        <f t="shared" si="103"/>
        <v>1.0381112197241229</v>
      </c>
      <c r="ACX13" s="5">
        <v>1</v>
      </c>
    </row>
    <row r="14" spans="1:778" s="102" customFormat="1" x14ac:dyDescent="0.35">
      <c r="A14" s="51" t="s">
        <v>46</v>
      </c>
      <c r="B14" s="165" t="s">
        <v>91</v>
      </c>
      <c r="C14" s="307"/>
      <c r="D14" s="308"/>
      <c r="E14" s="308"/>
      <c r="F14" s="308">
        <v>4</v>
      </c>
      <c r="G14" s="308">
        <v>43</v>
      </c>
      <c r="H14" s="309"/>
      <c r="I14" s="310"/>
      <c r="J14" s="57"/>
      <c r="K14" s="58">
        <f t="shared" si="0"/>
        <v>47</v>
      </c>
      <c r="L14"/>
      <c r="M14" s="312"/>
      <c r="N14" s="312"/>
      <c r="O14" s="374"/>
      <c r="P14" s="312">
        <v>42</v>
      </c>
      <c r="Q14" s="313"/>
      <c r="R14" s="375"/>
      <c r="S14" s="376"/>
      <c r="T14" s="58">
        <f t="shared" si="1"/>
        <v>42</v>
      </c>
      <c r="U14" s="314"/>
      <c r="V14" s="315"/>
      <c r="W14" s="315"/>
      <c r="X14" s="315"/>
      <c r="Y14" s="315"/>
      <c r="Z14" s="316"/>
      <c r="AA14" s="317"/>
      <c r="AB14" s="66"/>
      <c r="AC14" s="67">
        <f t="shared" si="2"/>
        <v>0</v>
      </c>
      <c r="AD14" s="319"/>
      <c r="AE14" s="308"/>
      <c r="AF14" s="308"/>
      <c r="AG14" s="308">
        <v>18</v>
      </c>
      <c r="AH14" s="308"/>
      <c r="AI14" s="309"/>
      <c r="AJ14" s="310"/>
      <c r="AK14" s="57"/>
      <c r="AL14" s="88">
        <f t="shared" si="3"/>
        <v>18</v>
      </c>
      <c r="AM14" s="319"/>
      <c r="AN14" s="308"/>
      <c r="AO14" s="308"/>
      <c r="AP14" s="308">
        <v>18</v>
      </c>
      <c r="AQ14" s="308">
        <v>14</v>
      </c>
      <c r="AR14" s="377"/>
      <c r="AS14" s="310"/>
      <c r="AT14" s="57"/>
      <c r="AU14" s="58">
        <f t="shared" si="4"/>
        <v>32</v>
      </c>
      <c r="AV14" s="81">
        <v>159</v>
      </c>
      <c r="AW14" s="82">
        <f t="shared" si="77"/>
        <v>139</v>
      </c>
      <c r="AX14" s="82">
        <v>200</v>
      </c>
      <c r="AY14" s="172">
        <f t="shared" si="5"/>
        <v>0.69499999999999995</v>
      </c>
      <c r="AZ14" s="84"/>
      <c r="BA14" s="307"/>
      <c r="BB14" s="308"/>
      <c r="BC14" s="308"/>
      <c r="BD14" s="308">
        <v>45</v>
      </c>
      <c r="BE14" s="308"/>
      <c r="BF14" s="309"/>
      <c r="BG14" s="310"/>
      <c r="BH14" s="57"/>
      <c r="BI14" s="86">
        <f t="shared" si="6"/>
        <v>45</v>
      </c>
      <c r="BJ14" s="318"/>
      <c r="BK14" s="308"/>
      <c r="BL14" s="308"/>
      <c r="BM14" s="378">
        <f>31+11</f>
        <v>42</v>
      </c>
      <c r="BN14" s="308"/>
      <c r="BO14" s="309"/>
      <c r="BP14" s="310"/>
      <c r="BQ14" s="57"/>
      <c r="BR14" s="58">
        <f t="shared" si="7"/>
        <v>42</v>
      </c>
      <c r="BS14" s="319"/>
      <c r="BT14" s="308"/>
      <c r="BU14" s="308"/>
      <c r="BV14" s="308">
        <f>4+27+2</f>
        <v>33</v>
      </c>
      <c r="BW14" s="308"/>
      <c r="BX14" s="309"/>
      <c r="BY14" s="310"/>
      <c r="BZ14" s="57"/>
      <c r="CA14" s="58">
        <f t="shared" si="105"/>
        <v>33</v>
      </c>
      <c r="CB14" s="319"/>
      <c r="CC14" s="308"/>
      <c r="CD14" s="308"/>
      <c r="CE14" s="308"/>
      <c r="CF14" s="308">
        <v>31</v>
      </c>
      <c r="CG14" s="309"/>
      <c r="CH14" s="310"/>
      <c r="CI14" s="57"/>
      <c r="CJ14" s="88">
        <f t="shared" si="106"/>
        <v>31</v>
      </c>
      <c r="CK14" s="336"/>
      <c r="CL14" s="333"/>
      <c r="CM14" s="333"/>
      <c r="CN14" s="333"/>
      <c r="CO14" s="333"/>
      <c r="CP14" s="337"/>
      <c r="CQ14" s="335"/>
      <c r="CR14" s="72"/>
      <c r="CS14" s="91">
        <f t="shared" si="78"/>
        <v>0</v>
      </c>
      <c r="CT14" s="92">
        <v>147</v>
      </c>
      <c r="CU14" s="93">
        <f t="shared" si="79"/>
        <v>151</v>
      </c>
      <c r="CV14" s="93">
        <v>200</v>
      </c>
      <c r="CW14" s="175">
        <f t="shared" si="8"/>
        <v>0.755</v>
      </c>
      <c r="CX14" s="95"/>
      <c r="CY14" s="307"/>
      <c r="CZ14" s="308"/>
      <c r="DA14" s="308"/>
      <c r="DB14" s="308">
        <v>37</v>
      </c>
      <c r="DC14" s="308"/>
      <c r="DD14" s="309"/>
      <c r="DE14" s="310"/>
      <c r="DF14" s="57"/>
      <c r="DG14" s="58">
        <f t="shared" si="9"/>
        <v>37</v>
      </c>
      <c r="DH14" s="319"/>
      <c r="DI14" s="308"/>
      <c r="DJ14" s="308"/>
      <c r="DK14" s="308">
        <v>26</v>
      </c>
      <c r="DL14" s="308"/>
      <c r="DM14" s="309"/>
      <c r="DN14" s="310"/>
      <c r="DO14" s="57"/>
      <c r="DP14" s="58">
        <f t="shared" si="10"/>
        <v>26</v>
      </c>
      <c r="DQ14" s="319"/>
      <c r="DR14" s="308"/>
      <c r="DS14" s="308"/>
      <c r="DT14" s="308">
        <f>23+8+6</f>
        <v>37</v>
      </c>
      <c r="DU14" s="308"/>
      <c r="DV14" s="309"/>
      <c r="DW14" s="310"/>
      <c r="DX14" s="57"/>
      <c r="DY14" s="58">
        <f t="shared" si="80"/>
        <v>37</v>
      </c>
      <c r="DZ14" s="319"/>
      <c r="EA14" s="308"/>
      <c r="EB14" s="308"/>
      <c r="EC14" s="308">
        <v>21</v>
      </c>
      <c r="ED14" s="308"/>
      <c r="EE14" s="309"/>
      <c r="EF14" s="310"/>
      <c r="EG14" s="57"/>
      <c r="EH14" s="96">
        <f t="shared" si="81"/>
        <v>21</v>
      </c>
      <c r="EI14" s="379"/>
      <c r="EJ14" s="308"/>
      <c r="EK14" s="308"/>
      <c r="EL14" s="308">
        <v>46</v>
      </c>
      <c r="EM14" s="308"/>
      <c r="EN14" s="377"/>
      <c r="EO14" s="310"/>
      <c r="EP14" s="57"/>
      <c r="EQ14" s="98">
        <f t="shared" si="82"/>
        <v>46</v>
      </c>
      <c r="ER14" s="99">
        <v>164</v>
      </c>
      <c r="ES14" s="100">
        <f t="shared" si="111"/>
        <v>167</v>
      </c>
      <c r="ET14" s="346">
        <v>250</v>
      </c>
      <c r="EU14" s="177">
        <f t="shared" si="11"/>
        <v>0.66800000000000004</v>
      </c>
      <c r="EW14" s="307"/>
      <c r="EX14" s="308"/>
      <c r="EY14" s="308"/>
      <c r="EZ14" s="308">
        <v>35</v>
      </c>
      <c r="FA14" s="308"/>
      <c r="FB14" s="309"/>
      <c r="FC14" s="310"/>
      <c r="FD14" s="57"/>
      <c r="FE14" s="58">
        <f t="shared" si="12"/>
        <v>35</v>
      </c>
      <c r="FF14" s="319"/>
      <c r="FG14" s="308"/>
      <c r="FH14" s="308"/>
      <c r="FI14" s="378">
        <v>49</v>
      </c>
      <c r="FJ14" s="308"/>
      <c r="FK14" s="309"/>
      <c r="FL14" s="310"/>
      <c r="FM14" s="57"/>
      <c r="FN14" s="58">
        <f t="shared" si="13"/>
        <v>49</v>
      </c>
      <c r="FO14" s="319"/>
      <c r="FP14" s="308"/>
      <c r="FQ14" s="308"/>
      <c r="FR14" s="308">
        <v>38</v>
      </c>
      <c r="FS14" s="308"/>
      <c r="FT14" s="309"/>
      <c r="FU14" s="310"/>
      <c r="FV14" s="57"/>
      <c r="FW14" s="58">
        <f t="shared" si="83"/>
        <v>38</v>
      </c>
      <c r="FX14" s="319">
        <v>23</v>
      </c>
      <c r="FY14" s="308"/>
      <c r="FZ14" s="308"/>
      <c r="GA14" s="308"/>
      <c r="GB14" s="308"/>
      <c r="GC14" s="309"/>
      <c r="GD14" s="310"/>
      <c r="GE14" s="57"/>
      <c r="GF14" s="58">
        <f t="shared" si="84"/>
        <v>23</v>
      </c>
      <c r="GG14" s="319"/>
      <c r="GH14" s="308"/>
      <c r="GI14" s="308"/>
      <c r="GJ14" s="308">
        <v>26</v>
      </c>
      <c r="GK14" s="308"/>
      <c r="GL14" s="377"/>
      <c r="GM14" s="310"/>
      <c r="GN14" s="57"/>
      <c r="GO14" s="58">
        <f t="shared" si="85"/>
        <v>26</v>
      </c>
      <c r="GP14" s="103">
        <v>169</v>
      </c>
      <c r="GQ14" s="104">
        <f t="shared" si="86"/>
        <v>171</v>
      </c>
      <c r="GR14" s="104">
        <v>250</v>
      </c>
      <c r="GS14" s="178">
        <f t="shared" si="14"/>
        <v>0.68400000000000005</v>
      </c>
      <c r="GT14" s="307"/>
      <c r="GU14" s="308"/>
      <c r="GV14" s="308"/>
      <c r="GW14" s="308"/>
      <c r="GX14" s="308"/>
      <c r="GY14" s="309"/>
      <c r="GZ14" s="310"/>
      <c r="HA14" s="57"/>
      <c r="HB14" s="57"/>
      <c r="HC14" s="58">
        <f t="shared" si="15"/>
        <v>0</v>
      </c>
      <c r="HD14" s="319"/>
      <c r="HE14" s="308"/>
      <c r="HF14" s="308"/>
      <c r="HG14" s="378"/>
      <c r="HH14" s="308"/>
      <c r="HI14" s="309"/>
      <c r="HJ14" s="310"/>
      <c r="HK14" s="57"/>
      <c r="HL14" s="57"/>
      <c r="HM14" s="58">
        <f t="shared" si="16"/>
        <v>0</v>
      </c>
      <c r="HN14" s="319"/>
      <c r="HO14" s="308"/>
      <c r="HP14" s="308"/>
      <c r="HQ14" s="308"/>
      <c r="HR14" s="308"/>
      <c r="HS14" s="309"/>
      <c r="HT14" s="310"/>
      <c r="HU14" s="57"/>
      <c r="HV14" s="57"/>
      <c r="HW14" s="58">
        <f t="shared" si="17"/>
        <v>0</v>
      </c>
      <c r="HX14" s="319"/>
      <c r="HY14" s="308"/>
      <c r="HZ14" s="308"/>
      <c r="IA14" s="308"/>
      <c r="IB14" s="308"/>
      <c r="IC14" s="309"/>
      <c r="ID14" s="310"/>
      <c r="IE14" s="57"/>
      <c r="IF14" s="57"/>
      <c r="IG14" s="88">
        <f t="shared" si="18"/>
        <v>0</v>
      </c>
      <c r="IH14" s="319"/>
      <c r="II14" s="308"/>
      <c r="IJ14" s="308"/>
      <c r="IK14" s="308"/>
      <c r="IL14" s="308"/>
      <c r="IM14" s="377"/>
      <c r="IN14" s="310"/>
      <c r="IO14" s="57"/>
      <c r="IP14" s="57"/>
      <c r="IQ14" s="58">
        <f t="shared" si="19"/>
        <v>0</v>
      </c>
      <c r="IR14" s="106"/>
      <c r="IS14" s="107"/>
      <c r="IT14" s="107"/>
      <c r="IU14" s="179"/>
      <c r="IV14" s="95"/>
      <c r="IW14" s="109">
        <f t="shared" si="87"/>
        <v>639</v>
      </c>
      <c r="IX14" s="110">
        <f t="shared" si="87"/>
        <v>628</v>
      </c>
      <c r="IY14" s="110">
        <f t="shared" si="87"/>
        <v>900</v>
      </c>
      <c r="IZ14" s="321">
        <f t="shared" si="20"/>
        <v>0.69777777777777783</v>
      </c>
      <c r="JB14" s="182" t="s">
        <v>55</v>
      </c>
      <c r="JC14" s="318"/>
      <c r="JD14" s="308"/>
      <c r="JE14" s="308"/>
      <c r="JF14" s="308"/>
      <c r="JG14" s="308">
        <v>26</v>
      </c>
      <c r="JH14" s="309"/>
      <c r="JI14" s="310"/>
      <c r="JJ14" s="57">
        <v>2</v>
      </c>
      <c r="JK14" s="57"/>
      <c r="JL14" s="58">
        <f t="shared" ref="JL14:JL29" si="112">+JC14+JD14+JE14+JF14+JG14+JH14</f>
        <v>26</v>
      </c>
      <c r="JM14" s="319"/>
      <c r="JN14" s="308"/>
      <c r="JO14" s="308"/>
      <c r="JP14" s="378"/>
      <c r="JQ14" s="308">
        <v>14</v>
      </c>
      <c r="JR14" s="309"/>
      <c r="JS14" s="310"/>
      <c r="JT14" s="57">
        <v>5</v>
      </c>
      <c r="JU14" s="57"/>
      <c r="JV14" s="58">
        <f>+JM14+JN14+JO14+JP14+JQ14+JR14</f>
        <v>14</v>
      </c>
      <c r="JW14" s="319"/>
      <c r="JX14" s="308"/>
      <c r="JY14" s="308"/>
      <c r="JZ14" s="308"/>
      <c r="KA14" s="308">
        <v>30</v>
      </c>
      <c r="KB14" s="309"/>
      <c r="KC14" s="310"/>
      <c r="KD14" s="57">
        <v>4</v>
      </c>
      <c r="KE14" s="57"/>
      <c r="KF14" s="58">
        <f t="shared" si="23"/>
        <v>30</v>
      </c>
      <c r="KG14" s="319"/>
      <c r="KH14" s="308"/>
      <c r="KI14" s="308"/>
      <c r="KJ14" s="308"/>
      <c r="KK14" s="308">
        <v>20</v>
      </c>
      <c r="KL14" s="309"/>
      <c r="KM14" s="310"/>
      <c r="KN14" s="57">
        <v>2</v>
      </c>
      <c r="KO14" s="57"/>
      <c r="KP14" s="88">
        <f t="shared" si="24"/>
        <v>20</v>
      </c>
      <c r="KQ14" s="319"/>
      <c r="KR14" s="308"/>
      <c r="KS14" s="308"/>
      <c r="KT14" s="308">
        <v>33</v>
      </c>
      <c r="KU14" s="308"/>
      <c r="KV14" s="377"/>
      <c r="KW14" s="56"/>
      <c r="KX14" s="57">
        <v>230</v>
      </c>
      <c r="KY14" s="57"/>
      <c r="KZ14" s="58">
        <f t="shared" si="25"/>
        <v>33</v>
      </c>
      <c r="LA14" s="81">
        <f t="shared" si="107"/>
        <v>230</v>
      </c>
      <c r="LB14" s="82">
        <f t="shared" si="26"/>
        <v>123</v>
      </c>
      <c r="LC14" s="348">
        <v>250</v>
      </c>
      <c r="LD14" s="82">
        <f t="shared" si="88"/>
        <v>-127</v>
      </c>
      <c r="LE14" s="192">
        <f t="shared" si="89"/>
        <v>0.49199999999999999</v>
      </c>
      <c r="LF14" s="115"/>
      <c r="LG14" s="322" t="s">
        <v>55</v>
      </c>
      <c r="LH14" s="318"/>
      <c r="LI14" s="308"/>
      <c r="LJ14" s="308"/>
      <c r="LK14" s="308">
        <v>1</v>
      </c>
      <c r="LL14" s="308">
        <v>11</v>
      </c>
      <c r="LM14" s="309"/>
      <c r="LN14" s="310"/>
      <c r="LO14" s="57"/>
      <c r="LP14" s="57"/>
      <c r="LQ14" s="58">
        <f t="shared" ref="LQ14:LQ29" si="113">+LH14+LI14+LJ14+LK14+LL14+LM14</f>
        <v>12</v>
      </c>
      <c r="LR14" s="319"/>
      <c r="LS14" s="308"/>
      <c r="LT14" s="308"/>
      <c r="LU14" s="378">
        <v>42</v>
      </c>
      <c r="LV14" s="308"/>
      <c r="LW14" s="309"/>
      <c r="LX14" s="310"/>
      <c r="LY14" s="57"/>
      <c r="LZ14" s="57"/>
      <c r="MA14" s="58">
        <f>+LR14+LS14+LT14+LU14+LV14+LW14</f>
        <v>42</v>
      </c>
      <c r="MB14" s="319"/>
      <c r="MC14" s="308"/>
      <c r="MD14" s="308"/>
      <c r="ME14" s="308">
        <v>13</v>
      </c>
      <c r="MF14" s="308">
        <v>14</v>
      </c>
      <c r="MG14" s="309"/>
      <c r="MH14" s="310"/>
      <c r="MI14" s="57"/>
      <c r="MJ14" s="57"/>
      <c r="MK14" s="58">
        <f t="shared" si="29"/>
        <v>27</v>
      </c>
      <c r="ML14" s="319"/>
      <c r="MM14" s="308"/>
      <c r="MN14" s="308"/>
      <c r="MO14" s="308">
        <v>15</v>
      </c>
      <c r="MP14" s="308"/>
      <c r="MQ14" s="309"/>
      <c r="MR14" s="310"/>
      <c r="MS14" s="57"/>
      <c r="MT14" s="57"/>
      <c r="MU14" s="88">
        <f t="shared" si="30"/>
        <v>15</v>
      </c>
      <c r="MV14" s="319"/>
      <c r="MW14" s="308"/>
      <c r="MX14" s="308"/>
      <c r="MY14" s="308">
        <v>23</v>
      </c>
      <c r="MZ14" s="308"/>
      <c r="NA14" s="377"/>
      <c r="NB14" s="310"/>
      <c r="NC14" s="57">
        <v>198</v>
      </c>
      <c r="ND14" s="57"/>
      <c r="NE14" s="58">
        <f t="shared" si="31"/>
        <v>23</v>
      </c>
      <c r="NF14" s="117">
        <f t="shared" si="90"/>
        <v>198</v>
      </c>
      <c r="NG14" s="93">
        <f t="shared" si="32"/>
        <v>119</v>
      </c>
      <c r="NH14" s="349">
        <v>250</v>
      </c>
      <c r="NI14" s="93">
        <f t="shared" si="91"/>
        <v>-131</v>
      </c>
      <c r="NJ14" s="196">
        <f t="shared" si="108"/>
        <v>0.47599999999999998</v>
      </c>
      <c r="NK14" s="119"/>
      <c r="NL14" s="322" t="s">
        <v>55</v>
      </c>
      <c r="NM14" s="318"/>
      <c r="NN14" s="308"/>
      <c r="NO14" s="308"/>
      <c r="NP14" s="308">
        <v>17</v>
      </c>
      <c r="NQ14" s="308"/>
      <c r="NR14" s="309"/>
      <c r="NS14" s="310"/>
      <c r="NT14" s="57"/>
      <c r="NU14" s="57"/>
      <c r="NV14" s="58">
        <f t="shared" ref="NV14:NV29" si="114">+NM14+NN14+NO14+NP14+NQ14+NR14</f>
        <v>17</v>
      </c>
      <c r="NW14" s="319"/>
      <c r="NX14" s="308"/>
      <c r="NY14" s="308"/>
      <c r="NZ14" s="378">
        <v>23</v>
      </c>
      <c r="OA14" s="308"/>
      <c r="OB14" s="309"/>
      <c r="OC14" s="310"/>
      <c r="OD14" s="57"/>
      <c r="OE14" s="57"/>
      <c r="OF14" s="58">
        <f>+NW14+NX14+NY14+NZ14+OA14+OB14</f>
        <v>23</v>
      </c>
      <c r="OG14" s="319"/>
      <c r="OH14" s="308"/>
      <c r="OI14" s="308"/>
      <c r="OJ14" s="308">
        <v>16</v>
      </c>
      <c r="OK14" s="308"/>
      <c r="OL14" s="309"/>
      <c r="OM14" s="310"/>
      <c r="ON14" s="57"/>
      <c r="OO14" s="57"/>
      <c r="OP14" s="58">
        <f t="shared" si="35"/>
        <v>16</v>
      </c>
      <c r="OQ14" s="319"/>
      <c r="OR14" s="308"/>
      <c r="OS14" s="308"/>
      <c r="OT14" s="308">
        <v>16</v>
      </c>
      <c r="OU14" s="308"/>
      <c r="OV14" s="309"/>
      <c r="OW14" s="310"/>
      <c r="OX14" s="57"/>
      <c r="OY14" s="57"/>
      <c r="OZ14" s="88">
        <f t="shared" si="36"/>
        <v>16</v>
      </c>
      <c r="PA14" s="319"/>
      <c r="PB14" s="308"/>
      <c r="PC14" s="308"/>
      <c r="PD14" s="308">
        <v>20</v>
      </c>
      <c r="PE14" s="308"/>
      <c r="PF14" s="377"/>
      <c r="PG14" s="310"/>
      <c r="PH14" s="57"/>
      <c r="PI14" s="57"/>
      <c r="PJ14" s="58">
        <f t="shared" si="37"/>
        <v>20</v>
      </c>
      <c r="PK14" s="99">
        <f t="shared" si="38"/>
        <v>0</v>
      </c>
      <c r="PL14" s="100">
        <f t="shared" si="39"/>
        <v>92</v>
      </c>
      <c r="PM14" s="346">
        <v>250</v>
      </c>
      <c r="PN14" s="100">
        <f t="shared" si="92"/>
        <v>-158</v>
      </c>
      <c r="PO14" s="198">
        <f t="shared" si="109"/>
        <v>0.36799999999999999</v>
      </c>
      <c r="PP14" s="119"/>
      <c r="PQ14" s="322" t="s">
        <v>55</v>
      </c>
      <c r="PR14" s="318"/>
      <c r="PS14" s="308"/>
      <c r="PT14" s="308"/>
      <c r="PU14" s="308">
        <v>33</v>
      </c>
      <c r="PV14" s="308"/>
      <c r="PW14" s="309"/>
      <c r="PX14" s="310"/>
      <c r="PY14" s="57"/>
      <c r="PZ14" s="57"/>
      <c r="QA14" s="58">
        <f t="shared" ref="QA14:QA29" si="115">+PR14+PS14+PT14+PU14+PV14+PW14</f>
        <v>33</v>
      </c>
      <c r="QB14" s="319"/>
      <c r="QC14" s="308"/>
      <c r="QD14" s="308"/>
      <c r="QE14" s="378">
        <v>36</v>
      </c>
      <c r="QF14" s="308"/>
      <c r="QG14" s="309"/>
      <c r="QH14" s="310"/>
      <c r="QI14" s="57"/>
      <c r="QJ14" s="57"/>
      <c r="QK14" s="58">
        <f>+QB14+QC14+QD14+QE14+QF14+QG14</f>
        <v>36</v>
      </c>
      <c r="QL14" s="319"/>
      <c r="QM14" s="308"/>
      <c r="QN14" s="308"/>
      <c r="QO14" s="308">
        <v>44</v>
      </c>
      <c r="QP14" s="308"/>
      <c r="QQ14" s="309"/>
      <c r="QR14" s="310"/>
      <c r="QS14" s="57"/>
      <c r="QT14" s="57"/>
      <c r="QU14" s="58">
        <f t="shared" si="42"/>
        <v>44</v>
      </c>
      <c r="QV14" s="319"/>
      <c r="QW14" s="308"/>
      <c r="QX14" s="308"/>
      <c r="QY14" s="308">
        <v>24</v>
      </c>
      <c r="QZ14" s="308"/>
      <c r="RA14" s="309"/>
      <c r="RB14" s="310"/>
      <c r="RC14" s="57"/>
      <c r="RD14" s="57"/>
      <c r="RE14" s="88">
        <f t="shared" si="43"/>
        <v>24</v>
      </c>
      <c r="RF14" s="319"/>
      <c r="RG14" s="308"/>
      <c r="RH14" s="308"/>
      <c r="RI14" s="308">
        <v>13</v>
      </c>
      <c r="RJ14" s="308"/>
      <c r="RK14" s="377"/>
      <c r="RL14" s="310"/>
      <c r="RM14" s="57">
        <v>134</v>
      </c>
      <c r="RN14" s="57"/>
      <c r="RO14" s="58">
        <f t="shared" si="44"/>
        <v>13</v>
      </c>
      <c r="RP14" s="121">
        <f t="shared" si="93"/>
        <v>134</v>
      </c>
      <c r="RQ14" s="104">
        <f t="shared" si="45"/>
        <v>150</v>
      </c>
      <c r="RR14" s="350">
        <v>250</v>
      </c>
      <c r="RS14" s="104">
        <f t="shared" si="94"/>
        <v>-100</v>
      </c>
      <c r="RT14" s="205">
        <f t="shared" si="110"/>
        <v>0.6</v>
      </c>
      <c r="RV14" s="123">
        <f t="shared" si="95"/>
        <v>562</v>
      </c>
      <c r="RW14" s="124">
        <f t="shared" si="95"/>
        <v>484</v>
      </c>
      <c r="RX14" s="124">
        <f t="shared" si="95"/>
        <v>1000</v>
      </c>
      <c r="RY14" s="323">
        <f t="shared" si="96"/>
        <v>0.48399999999999999</v>
      </c>
      <c r="SA14" s="165" t="s">
        <v>55</v>
      </c>
      <c r="SB14" s="324"/>
      <c r="SC14" s="200"/>
      <c r="SD14" s="200"/>
      <c r="SE14" s="200"/>
      <c r="SF14" s="200">
        <v>22</v>
      </c>
      <c r="SG14" s="325"/>
      <c r="SH14" s="326"/>
      <c r="SI14" s="134"/>
      <c r="SJ14" s="134">
        <v>11</v>
      </c>
      <c r="SK14" s="131">
        <f t="shared" ref="SK14:SK30" si="116">+SB14+SC14+SD14+SE14+SF14+SG14</f>
        <v>22</v>
      </c>
      <c r="SL14" s="327"/>
      <c r="SM14" s="200"/>
      <c r="SN14" s="200"/>
      <c r="SO14" s="380"/>
      <c r="SP14" s="200">
        <v>28</v>
      </c>
      <c r="SQ14" s="325"/>
      <c r="SR14" s="326"/>
      <c r="SS14" s="134"/>
      <c r="ST14" s="134"/>
      <c r="SU14" s="131">
        <f>+SL14+SM14+SN14+SO14+SP14+SQ14</f>
        <v>28</v>
      </c>
      <c r="SV14" s="327"/>
      <c r="SW14" s="200"/>
      <c r="SX14" s="200"/>
      <c r="SY14" s="200"/>
      <c r="SZ14" s="200">
        <v>49</v>
      </c>
      <c r="TA14" s="325"/>
      <c r="TB14" s="326"/>
      <c r="TC14" s="134"/>
      <c r="TD14" s="134"/>
      <c r="TE14" s="131">
        <f t="shared" ref="TE14:TE30" si="117">+TA14+SZ14+SY14+SX14+SW14+SV14</f>
        <v>49</v>
      </c>
      <c r="TF14" s="327"/>
      <c r="TG14" s="200"/>
      <c r="TH14" s="200"/>
      <c r="TI14" s="200"/>
      <c r="TJ14" s="200">
        <v>20</v>
      </c>
      <c r="TK14" s="325"/>
      <c r="TL14" s="326"/>
      <c r="TM14" s="134"/>
      <c r="TN14" s="134"/>
      <c r="TO14" s="131">
        <f t="shared" si="49"/>
        <v>20</v>
      </c>
      <c r="TP14" s="327"/>
      <c r="TQ14" s="200"/>
      <c r="TR14" s="200"/>
      <c r="TS14" s="200"/>
      <c r="TT14" s="200">
        <v>28</v>
      </c>
      <c r="TU14" s="325"/>
      <c r="TV14" s="326"/>
      <c r="TW14" s="134"/>
      <c r="TX14" s="134"/>
      <c r="TY14" s="136">
        <f t="shared" si="50"/>
        <v>28</v>
      </c>
      <c r="TZ14" s="209">
        <f t="shared" si="97"/>
        <v>11</v>
      </c>
      <c r="UA14" s="210">
        <f t="shared" si="97"/>
        <v>147</v>
      </c>
      <c r="UB14" s="210">
        <v>250</v>
      </c>
      <c r="UC14" s="211">
        <f t="shared" si="51"/>
        <v>0.58799999999999997</v>
      </c>
      <c r="UD14" s="140"/>
      <c r="UE14" s="220" t="s">
        <v>55</v>
      </c>
      <c r="UF14" s="324"/>
      <c r="UG14" s="200"/>
      <c r="UH14" s="200"/>
      <c r="UI14" s="200"/>
      <c r="UJ14" s="200">
        <v>28</v>
      </c>
      <c r="UK14" s="325"/>
      <c r="UL14" s="326"/>
      <c r="UM14" s="134"/>
      <c r="UN14" s="134"/>
      <c r="UO14" s="131">
        <f t="shared" ref="UO14:UO30" si="118">+UF14+UG14+UH14+UI14+UJ14+UK14</f>
        <v>28</v>
      </c>
      <c r="UP14" s="327"/>
      <c r="UQ14" s="200"/>
      <c r="UR14" s="200"/>
      <c r="US14" s="380"/>
      <c r="UT14" s="200">
        <v>41</v>
      </c>
      <c r="UU14" s="325"/>
      <c r="UV14" s="326"/>
      <c r="UW14" s="134"/>
      <c r="UX14" s="134"/>
      <c r="UY14" s="131">
        <f>+UP14+UQ14+UR14+US14+UT14+UU14</f>
        <v>41</v>
      </c>
      <c r="UZ14" s="327"/>
      <c r="VA14" s="200"/>
      <c r="VB14" s="200"/>
      <c r="VC14" s="200"/>
      <c r="VD14" s="200">
        <v>33</v>
      </c>
      <c r="VE14" s="325"/>
      <c r="VF14" s="326"/>
      <c r="VG14" s="134"/>
      <c r="VH14" s="134"/>
      <c r="VI14" s="131">
        <f t="shared" ref="VI14:VI30" si="119">+VE14+VD14+VC14+VB14+VA14+UZ14</f>
        <v>33</v>
      </c>
      <c r="VJ14" s="327"/>
      <c r="VK14" s="200"/>
      <c r="VL14" s="200"/>
      <c r="VM14" s="200"/>
      <c r="VN14" s="200">
        <v>22</v>
      </c>
      <c r="VO14" s="325"/>
      <c r="VP14" s="326"/>
      <c r="VQ14" s="134"/>
      <c r="VR14" s="134"/>
      <c r="VS14" s="131">
        <f t="shared" si="55"/>
        <v>22</v>
      </c>
      <c r="VT14" s="327"/>
      <c r="VU14" s="200"/>
      <c r="VV14" s="200"/>
      <c r="VW14" s="200"/>
      <c r="VX14" s="200"/>
      <c r="VY14" s="325"/>
      <c r="VZ14" s="326"/>
      <c r="WA14" s="134"/>
      <c r="WB14" s="134"/>
      <c r="WC14" s="131">
        <f t="shared" si="56"/>
        <v>0</v>
      </c>
      <c r="WD14" s="216">
        <f t="shared" si="98"/>
        <v>0</v>
      </c>
      <c r="WE14" s="217">
        <f t="shared" si="98"/>
        <v>124</v>
      </c>
      <c r="WF14" s="217">
        <v>200</v>
      </c>
      <c r="WG14" s="218">
        <f t="shared" si="57"/>
        <v>0.62</v>
      </c>
      <c r="WH14" s="146"/>
      <c r="WI14" s="220" t="s">
        <v>55</v>
      </c>
      <c r="WJ14" s="324"/>
      <c r="WK14" s="200"/>
      <c r="WL14" s="200"/>
      <c r="WM14" s="200"/>
      <c r="WN14" s="200">
        <v>38</v>
      </c>
      <c r="WO14" s="325"/>
      <c r="WP14" s="326"/>
      <c r="WQ14" s="134"/>
      <c r="WR14" s="134"/>
      <c r="WS14" s="131">
        <f t="shared" si="58"/>
        <v>38</v>
      </c>
      <c r="WT14" s="327"/>
      <c r="WU14" s="200"/>
      <c r="WV14" s="200"/>
      <c r="WW14" s="380"/>
      <c r="WX14" s="200">
        <v>24</v>
      </c>
      <c r="WY14" s="325"/>
      <c r="WZ14" s="326"/>
      <c r="XA14" s="134"/>
      <c r="XB14" s="134"/>
      <c r="XC14" s="131">
        <f>+WT14+WU14+WV14+WW14+WX14+WY14</f>
        <v>24</v>
      </c>
      <c r="XD14" s="327"/>
      <c r="XE14" s="200"/>
      <c r="XF14" s="200"/>
      <c r="XG14" s="200"/>
      <c r="XH14" s="200">
        <v>30</v>
      </c>
      <c r="XI14" s="325"/>
      <c r="XJ14" s="326"/>
      <c r="XK14" s="134"/>
      <c r="XL14" s="134"/>
      <c r="XM14" s="131">
        <f t="shared" ref="XM14:XM30" si="120">+XI14+XH14+XG14+XF14+XE14+XD14</f>
        <v>30</v>
      </c>
      <c r="XN14" s="327"/>
      <c r="XO14" s="200"/>
      <c r="XP14" s="200"/>
      <c r="XQ14" s="200"/>
      <c r="XR14" s="200">
        <v>42</v>
      </c>
      <c r="XS14" s="325"/>
      <c r="XT14" s="326"/>
      <c r="XU14" s="134"/>
      <c r="XV14" s="134"/>
      <c r="XW14" s="131">
        <f t="shared" si="61"/>
        <v>42</v>
      </c>
      <c r="XX14" s="327"/>
      <c r="XY14" s="200"/>
      <c r="XZ14" s="200"/>
      <c r="YA14" s="200"/>
      <c r="YB14" s="200">
        <v>47</v>
      </c>
      <c r="YC14" s="325"/>
      <c r="YD14" s="326"/>
      <c r="YE14" s="134"/>
      <c r="YF14" s="134"/>
      <c r="YG14" s="131">
        <f t="shared" si="62"/>
        <v>47</v>
      </c>
      <c r="YH14" s="221">
        <f t="shared" si="99"/>
        <v>0</v>
      </c>
      <c r="YI14" s="148">
        <f t="shared" si="99"/>
        <v>181</v>
      </c>
      <c r="YJ14" s="222">
        <v>250</v>
      </c>
      <c r="YK14" s="223">
        <f t="shared" si="63"/>
        <v>0.72399999999999998</v>
      </c>
      <c r="YL14" s="150"/>
      <c r="YM14" s="328"/>
      <c r="YN14" s="200"/>
      <c r="YO14" s="200"/>
      <c r="YP14" s="200"/>
      <c r="YQ14" s="200">
        <v>12</v>
      </c>
      <c r="YR14" s="325"/>
      <c r="YS14" s="326"/>
      <c r="YT14" s="134"/>
      <c r="YU14" s="134"/>
      <c r="YV14" s="131">
        <f t="shared" ref="YV14:YV30" si="121">+YM14+YN14+YO14+YP14+YQ14+YR14</f>
        <v>12</v>
      </c>
      <c r="YW14" s="327"/>
      <c r="YX14" s="200"/>
      <c r="YY14" s="200"/>
      <c r="YZ14" s="380">
        <v>2</v>
      </c>
      <c r="ZA14" s="200">
        <v>11</v>
      </c>
      <c r="ZB14" s="325"/>
      <c r="ZC14" s="326"/>
      <c r="ZD14" s="134"/>
      <c r="ZE14" s="134"/>
      <c r="ZF14" s="131">
        <f>+YW14+YX14+YY14+YZ14+ZA14+ZB14</f>
        <v>13</v>
      </c>
      <c r="ZG14" s="327"/>
      <c r="ZH14" s="200"/>
      <c r="ZI14" s="200"/>
      <c r="ZJ14" s="200"/>
      <c r="ZK14" s="200">
        <v>25</v>
      </c>
      <c r="ZL14" s="325"/>
      <c r="ZM14" s="326"/>
      <c r="ZN14" s="134"/>
      <c r="ZO14" s="134"/>
      <c r="ZP14" s="131">
        <f t="shared" ref="ZP14:ZP30" si="122">+ZL14+ZK14+ZJ14+ZI14+ZH14+ZG14</f>
        <v>25</v>
      </c>
      <c r="ZQ14" s="327"/>
      <c r="ZR14" s="200"/>
      <c r="ZS14" s="200"/>
      <c r="ZT14" s="200">
        <v>35</v>
      </c>
      <c r="ZU14" s="200">
        <v>16</v>
      </c>
      <c r="ZV14" s="325"/>
      <c r="ZW14" s="326"/>
      <c r="ZX14" s="134"/>
      <c r="ZY14" s="134"/>
      <c r="ZZ14" s="131">
        <f t="shared" si="67"/>
        <v>51</v>
      </c>
      <c r="AAA14" s="327"/>
      <c r="AAB14" s="200"/>
      <c r="AAC14" s="200"/>
      <c r="AAD14" s="200">
        <v>18</v>
      </c>
      <c r="AAE14" s="200">
        <v>6</v>
      </c>
      <c r="AAF14" s="325"/>
      <c r="AAG14" s="326"/>
      <c r="AAH14" s="134"/>
      <c r="AAI14" s="134"/>
      <c r="AAJ14" s="131">
        <f t="shared" si="68"/>
        <v>24</v>
      </c>
      <c r="AAK14" s="226">
        <f t="shared" si="69"/>
        <v>125</v>
      </c>
      <c r="AAL14" s="226">
        <v>250</v>
      </c>
      <c r="AAM14" s="227">
        <f t="shared" si="70"/>
        <v>0.5</v>
      </c>
      <c r="AAN14" s="329" t="s">
        <v>55</v>
      </c>
      <c r="AAO14" s="324"/>
      <c r="AAP14" s="200"/>
      <c r="AAQ14" s="200"/>
      <c r="AAR14" s="200"/>
      <c r="AAS14" s="200"/>
      <c r="AAT14" s="325"/>
      <c r="AAU14" s="326"/>
      <c r="AAV14" s="134"/>
      <c r="AAW14" s="134"/>
      <c r="AAX14" s="155"/>
      <c r="AAY14" s="131">
        <f t="shared" ref="AAY14:AAY30" si="123">+AAO14+AAP14+AAQ14+AAR14+AAS14+AAT14</f>
        <v>0</v>
      </c>
      <c r="AAZ14" s="327"/>
      <c r="ABA14" s="200"/>
      <c r="ABB14" s="200"/>
      <c r="ABC14" s="380">
        <v>43</v>
      </c>
      <c r="ABD14" s="200">
        <v>4</v>
      </c>
      <c r="ABE14" s="325"/>
      <c r="ABF14" s="326"/>
      <c r="ABG14" s="134"/>
      <c r="ABH14" s="134"/>
      <c r="ABI14" s="131">
        <f t="shared" si="71"/>
        <v>47</v>
      </c>
      <c r="ABJ14" s="327"/>
      <c r="ABK14" s="200"/>
      <c r="ABL14" s="200"/>
      <c r="ABM14" s="200">
        <v>27</v>
      </c>
      <c r="ABN14" s="200">
        <v>8</v>
      </c>
      <c r="ABO14" s="325"/>
      <c r="ABP14" s="326"/>
      <c r="ABQ14" s="134"/>
      <c r="ABR14" s="134"/>
      <c r="ABS14" s="131">
        <f t="shared" ref="ABS14:ABS30" si="124">+ABO14+ABN14+ABM14+ABL14+ABK14+ABJ14</f>
        <v>35</v>
      </c>
      <c r="ABT14" s="327"/>
      <c r="ABU14" s="200"/>
      <c r="ABV14" s="200"/>
      <c r="ABW14" s="200"/>
      <c r="ABX14" s="200">
        <v>29</v>
      </c>
      <c r="ABY14" s="325"/>
      <c r="ABZ14" s="326"/>
      <c r="ACA14" s="134">
        <v>2</v>
      </c>
      <c r="ACB14" s="134"/>
      <c r="ACC14" s="131">
        <f t="shared" si="73"/>
        <v>29</v>
      </c>
      <c r="ACD14" s="327"/>
      <c r="ACE14" s="200"/>
      <c r="ACF14" s="200"/>
      <c r="ACG14" s="200">
        <v>7</v>
      </c>
      <c r="ACH14" s="200">
        <v>26</v>
      </c>
      <c r="ACI14" s="325"/>
      <c r="ACJ14" s="326"/>
      <c r="ACK14" s="134">
        <v>1</v>
      </c>
      <c r="ACL14" s="134"/>
      <c r="ACM14" s="131">
        <f t="shared" si="74"/>
        <v>33</v>
      </c>
      <c r="ACN14" s="156">
        <f t="shared" si="75"/>
        <v>0</v>
      </c>
      <c r="ACO14" s="157"/>
      <c r="ACP14" s="229">
        <f t="shared" si="100"/>
        <v>144</v>
      </c>
      <c r="ACQ14" s="229">
        <v>200</v>
      </c>
      <c r="ACR14" s="230">
        <f t="shared" si="101"/>
        <v>0.72</v>
      </c>
      <c r="ACS14" s="231">
        <f t="shared" si="76"/>
        <v>721</v>
      </c>
      <c r="ACT14" s="207">
        <f t="shared" si="76"/>
        <v>1150</v>
      </c>
      <c r="ACU14" s="323">
        <f t="shared" si="102"/>
        <v>0.62695652173913041</v>
      </c>
      <c r="ACW14" s="330">
        <f t="shared" si="103"/>
        <v>0.60291143317230278</v>
      </c>
      <c r="ACX14" s="331">
        <v>6</v>
      </c>
    </row>
    <row r="15" spans="1:778" s="102" customFormat="1" x14ac:dyDescent="0.35">
      <c r="A15" s="51" t="s">
        <v>46</v>
      </c>
      <c r="B15" s="165" t="s">
        <v>91</v>
      </c>
      <c r="C15" s="307"/>
      <c r="D15" s="308"/>
      <c r="E15" s="308"/>
      <c r="F15" s="308"/>
      <c r="G15" s="308">
        <v>46</v>
      </c>
      <c r="H15" s="309"/>
      <c r="I15" s="310"/>
      <c r="J15" s="57"/>
      <c r="K15" s="58">
        <f t="shared" si="0"/>
        <v>46</v>
      </c>
      <c r="L15" s="319"/>
      <c r="M15" s="308"/>
      <c r="N15" s="308"/>
      <c r="O15" s="308"/>
      <c r="P15" s="308">
        <f>30+7</f>
        <v>37</v>
      </c>
      <c r="Q15" s="309"/>
      <c r="R15" s="310"/>
      <c r="S15" s="57"/>
      <c r="T15" s="58">
        <f t="shared" si="1"/>
        <v>37</v>
      </c>
      <c r="U15" s="314"/>
      <c r="V15" s="315"/>
      <c r="W15" s="315"/>
      <c r="X15" s="315"/>
      <c r="Y15" s="315"/>
      <c r="Z15" s="316"/>
      <c r="AA15" s="317"/>
      <c r="AB15" s="66"/>
      <c r="AC15" s="67">
        <f t="shared" si="2"/>
        <v>0</v>
      </c>
      <c r="AD15" s="319"/>
      <c r="AE15" s="308"/>
      <c r="AF15" s="308"/>
      <c r="AG15" s="308"/>
      <c r="AH15" s="308">
        <v>31</v>
      </c>
      <c r="AI15" s="309"/>
      <c r="AJ15" s="310"/>
      <c r="AK15" s="57"/>
      <c r="AL15" s="88">
        <f t="shared" si="3"/>
        <v>31</v>
      </c>
      <c r="AM15" s="319"/>
      <c r="AN15" s="308"/>
      <c r="AO15" s="308"/>
      <c r="AP15" s="308"/>
      <c r="AQ15" s="308">
        <f>30+19</f>
        <v>49</v>
      </c>
      <c r="AR15" s="377"/>
      <c r="AS15" s="310"/>
      <c r="AT15" s="57"/>
      <c r="AU15" s="58">
        <f t="shared" si="4"/>
        <v>49</v>
      </c>
      <c r="AV15" s="81">
        <v>193</v>
      </c>
      <c r="AW15" s="82">
        <f t="shared" si="77"/>
        <v>163</v>
      </c>
      <c r="AX15" s="82">
        <v>200</v>
      </c>
      <c r="AY15" s="172">
        <f t="shared" si="5"/>
        <v>0.81499999999999995</v>
      </c>
      <c r="AZ15" s="84"/>
      <c r="BA15" s="307"/>
      <c r="BB15" s="308"/>
      <c r="BC15" s="308"/>
      <c r="BD15" s="308"/>
      <c r="BE15" s="308">
        <f>31+31+26</f>
        <v>88</v>
      </c>
      <c r="BF15" s="309"/>
      <c r="BG15" s="310"/>
      <c r="BH15" s="57"/>
      <c r="BI15" s="86">
        <f t="shared" si="6"/>
        <v>88</v>
      </c>
      <c r="BJ15" s="318"/>
      <c r="BK15" s="308"/>
      <c r="BL15" s="308"/>
      <c r="BM15" s="308"/>
      <c r="BN15" s="308">
        <f>31+27</f>
        <v>58</v>
      </c>
      <c r="BO15" s="309"/>
      <c r="BP15" s="310"/>
      <c r="BQ15" s="57"/>
      <c r="BR15" s="58">
        <f t="shared" si="7"/>
        <v>58</v>
      </c>
      <c r="BS15" s="319"/>
      <c r="BT15" s="308"/>
      <c r="BU15" s="308"/>
      <c r="BV15" s="308"/>
      <c r="BW15" s="308">
        <v>39</v>
      </c>
      <c r="BX15" s="309"/>
      <c r="BY15" s="310"/>
      <c r="BZ15" s="57"/>
      <c r="CA15" s="58">
        <f t="shared" si="105"/>
        <v>39</v>
      </c>
      <c r="CB15" s="319"/>
      <c r="CC15" s="308"/>
      <c r="CD15" s="308"/>
      <c r="CE15" s="308"/>
      <c r="CF15" s="308">
        <f>30+9</f>
        <v>39</v>
      </c>
      <c r="CG15" s="309"/>
      <c r="CH15" s="310"/>
      <c r="CI15" s="57"/>
      <c r="CJ15" s="88">
        <f t="shared" si="106"/>
        <v>39</v>
      </c>
      <c r="CK15" s="319"/>
      <c r="CL15" s="308"/>
      <c r="CM15" s="308"/>
      <c r="CN15" s="308"/>
      <c r="CO15" s="308">
        <f>17+12+12</f>
        <v>41</v>
      </c>
      <c r="CP15" s="377"/>
      <c r="CQ15" s="310"/>
      <c r="CR15" s="57"/>
      <c r="CS15" s="91">
        <f t="shared" si="78"/>
        <v>41</v>
      </c>
      <c r="CT15" s="92">
        <v>301</v>
      </c>
      <c r="CU15" s="93">
        <f t="shared" si="79"/>
        <v>265</v>
      </c>
      <c r="CV15" s="93">
        <v>250</v>
      </c>
      <c r="CW15" s="175">
        <f t="shared" si="8"/>
        <v>1.06</v>
      </c>
      <c r="CX15" s="95"/>
      <c r="CY15" s="307"/>
      <c r="CZ15" s="308"/>
      <c r="DA15" s="308"/>
      <c r="DB15" s="308"/>
      <c r="DC15" s="308">
        <f>29+8</f>
        <v>37</v>
      </c>
      <c r="DD15" s="309"/>
      <c r="DE15" s="310"/>
      <c r="DF15" s="57"/>
      <c r="DG15" s="58">
        <f t="shared" si="9"/>
        <v>37</v>
      </c>
      <c r="DH15" s="319"/>
      <c r="DI15" s="308"/>
      <c r="DJ15" s="308"/>
      <c r="DK15" s="308"/>
      <c r="DL15" s="308">
        <f>8+20+20</f>
        <v>48</v>
      </c>
      <c r="DM15" s="309"/>
      <c r="DN15" s="310"/>
      <c r="DO15" s="57"/>
      <c r="DP15" s="58">
        <f t="shared" si="10"/>
        <v>48</v>
      </c>
      <c r="DQ15" s="319"/>
      <c r="DR15" s="308"/>
      <c r="DS15" s="308"/>
      <c r="DT15" s="308"/>
      <c r="DU15" s="308">
        <v>41</v>
      </c>
      <c r="DV15" s="309"/>
      <c r="DW15" s="310"/>
      <c r="DX15" s="57"/>
      <c r="DY15" s="58">
        <f t="shared" si="80"/>
        <v>41</v>
      </c>
      <c r="DZ15" s="319"/>
      <c r="EA15" s="308"/>
      <c r="EB15" s="308"/>
      <c r="EC15" s="308"/>
      <c r="ED15" s="308">
        <v>44</v>
      </c>
      <c r="EE15" s="309"/>
      <c r="EF15" s="310"/>
      <c r="EG15" s="57"/>
      <c r="EH15" s="96">
        <f t="shared" si="81"/>
        <v>44</v>
      </c>
      <c r="EI15" s="379"/>
      <c r="EJ15" s="308"/>
      <c r="EK15" s="308"/>
      <c r="EL15" s="308"/>
      <c r="EM15" s="308">
        <v>54</v>
      </c>
      <c r="EN15" s="377"/>
      <c r="EO15" s="310"/>
      <c r="EP15" s="57"/>
      <c r="EQ15" s="98">
        <f t="shared" si="82"/>
        <v>54</v>
      </c>
      <c r="ER15" s="99">
        <v>293</v>
      </c>
      <c r="ES15" s="100">
        <f t="shared" si="111"/>
        <v>224</v>
      </c>
      <c r="ET15" s="346">
        <v>250</v>
      </c>
      <c r="EU15" s="177">
        <f t="shared" si="11"/>
        <v>0.89600000000000002</v>
      </c>
      <c r="EW15" s="307"/>
      <c r="EX15" s="308"/>
      <c r="EY15" s="308"/>
      <c r="EZ15" s="308">
        <v>15</v>
      </c>
      <c r="FA15" s="308">
        <v>15</v>
      </c>
      <c r="FB15" s="309"/>
      <c r="FC15" s="310"/>
      <c r="FD15" s="57"/>
      <c r="FE15" s="58">
        <f t="shared" si="12"/>
        <v>30</v>
      </c>
      <c r="FF15" s="319"/>
      <c r="FG15" s="308"/>
      <c r="FH15" s="308"/>
      <c r="FI15" s="308"/>
      <c r="FJ15" s="308">
        <v>52</v>
      </c>
      <c r="FK15" s="309"/>
      <c r="FL15" s="310"/>
      <c r="FM15" s="57"/>
      <c r="FN15" s="58">
        <f t="shared" si="13"/>
        <v>52</v>
      </c>
      <c r="FO15" s="319"/>
      <c r="FP15" s="308"/>
      <c r="FQ15" s="308"/>
      <c r="FR15" s="308"/>
      <c r="FS15" s="308">
        <v>34</v>
      </c>
      <c r="FT15" s="309"/>
      <c r="FU15" s="310"/>
      <c r="FV15" s="57"/>
      <c r="FW15" s="58">
        <f t="shared" si="83"/>
        <v>34</v>
      </c>
      <c r="FX15" s="319"/>
      <c r="FY15" s="308"/>
      <c r="FZ15" s="308"/>
      <c r="GA15" s="308"/>
      <c r="GB15" s="308">
        <v>32</v>
      </c>
      <c r="GC15" s="309"/>
      <c r="GD15" s="310"/>
      <c r="GE15" s="57"/>
      <c r="GF15" s="58">
        <f t="shared" si="84"/>
        <v>32</v>
      </c>
      <c r="GG15" s="319"/>
      <c r="GH15" s="308"/>
      <c r="GI15" s="308"/>
      <c r="GJ15" s="308"/>
      <c r="GK15" s="308">
        <v>48</v>
      </c>
      <c r="GL15" s="377"/>
      <c r="GM15" s="310"/>
      <c r="GN15" s="57"/>
      <c r="GO15" s="58">
        <f t="shared" si="85"/>
        <v>48</v>
      </c>
      <c r="GP15" s="103">
        <v>241</v>
      </c>
      <c r="GQ15" s="104">
        <f t="shared" si="86"/>
        <v>196</v>
      </c>
      <c r="GR15" s="104">
        <v>250</v>
      </c>
      <c r="GS15" s="178">
        <f t="shared" si="14"/>
        <v>0.78400000000000003</v>
      </c>
      <c r="GT15" s="307"/>
      <c r="GU15" s="308"/>
      <c r="GV15" s="308"/>
      <c r="GW15" s="308"/>
      <c r="GX15" s="308"/>
      <c r="GY15" s="309"/>
      <c r="GZ15" s="310"/>
      <c r="HA15" s="57"/>
      <c r="HB15" s="57"/>
      <c r="HC15" s="58">
        <f t="shared" si="15"/>
        <v>0</v>
      </c>
      <c r="HD15" s="319"/>
      <c r="HE15" s="308"/>
      <c r="HF15" s="308"/>
      <c r="HG15" s="308"/>
      <c r="HH15" s="308"/>
      <c r="HI15" s="309"/>
      <c r="HJ15" s="310"/>
      <c r="HK15" s="57"/>
      <c r="HL15" s="57"/>
      <c r="HM15" s="58">
        <f t="shared" si="16"/>
        <v>0</v>
      </c>
      <c r="HN15" s="319"/>
      <c r="HO15" s="308"/>
      <c r="HP15" s="308"/>
      <c r="HQ15" s="308"/>
      <c r="HR15" s="308"/>
      <c r="HS15" s="309"/>
      <c r="HT15" s="310"/>
      <c r="HU15" s="57"/>
      <c r="HV15" s="57"/>
      <c r="HW15" s="58">
        <f t="shared" si="17"/>
        <v>0</v>
      </c>
      <c r="HX15" s="319"/>
      <c r="HY15" s="308"/>
      <c r="HZ15" s="308"/>
      <c r="IA15" s="308"/>
      <c r="IB15" s="308"/>
      <c r="IC15" s="309"/>
      <c r="ID15" s="310"/>
      <c r="IE15" s="57"/>
      <c r="IF15" s="57"/>
      <c r="IG15" s="88">
        <f t="shared" si="18"/>
        <v>0</v>
      </c>
      <c r="IH15" s="319"/>
      <c r="II15" s="308"/>
      <c r="IJ15" s="308"/>
      <c r="IK15" s="308"/>
      <c r="IL15" s="308"/>
      <c r="IM15" s="377"/>
      <c r="IN15" s="310"/>
      <c r="IO15" s="57"/>
      <c r="IP15" s="57"/>
      <c r="IQ15" s="58">
        <f t="shared" si="19"/>
        <v>0</v>
      </c>
      <c r="IR15" s="106"/>
      <c r="IS15" s="107"/>
      <c r="IT15" s="107"/>
      <c r="IU15" s="179"/>
      <c r="IV15" s="95"/>
      <c r="IW15" s="109">
        <f t="shared" si="87"/>
        <v>1028</v>
      </c>
      <c r="IX15" s="110">
        <f t="shared" si="87"/>
        <v>848</v>
      </c>
      <c r="IY15" s="110">
        <f t="shared" si="87"/>
        <v>950</v>
      </c>
      <c r="IZ15" s="347">
        <f t="shared" si="20"/>
        <v>0.89263157894736844</v>
      </c>
      <c r="JB15" s="381" t="s">
        <v>56</v>
      </c>
      <c r="JC15" s="318"/>
      <c r="JD15" s="308"/>
      <c r="JE15" s="308"/>
      <c r="JF15" s="308"/>
      <c r="JG15" s="308">
        <v>68</v>
      </c>
      <c r="JH15" s="309"/>
      <c r="JI15" s="310"/>
      <c r="JJ15" s="57"/>
      <c r="JK15" s="57"/>
      <c r="JL15" s="58">
        <f t="shared" si="112"/>
        <v>68</v>
      </c>
      <c r="JM15" s="319"/>
      <c r="JN15" s="308"/>
      <c r="JO15" s="308"/>
      <c r="JP15" s="308"/>
      <c r="JQ15" s="308">
        <v>40</v>
      </c>
      <c r="JR15" s="309"/>
      <c r="JS15" s="310"/>
      <c r="JT15" s="57">
        <v>5</v>
      </c>
      <c r="JU15" s="57"/>
      <c r="JV15" s="58">
        <f t="shared" ref="JV15:JV29" si="125">+JM15+JN15+JO15+JP15+JQ15+JR15</f>
        <v>40</v>
      </c>
      <c r="JW15" s="319"/>
      <c r="JX15" s="308"/>
      <c r="JY15" s="308"/>
      <c r="JZ15" s="308"/>
      <c r="KA15" s="308">
        <v>76</v>
      </c>
      <c r="KB15" s="309"/>
      <c r="KC15" s="310"/>
      <c r="KD15" s="57"/>
      <c r="KE15" s="57"/>
      <c r="KF15" s="58">
        <f t="shared" si="23"/>
        <v>76</v>
      </c>
      <c r="KG15" s="319"/>
      <c r="KH15" s="308"/>
      <c r="KI15" s="308"/>
      <c r="KJ15" s="308"/>
      <c r="KK15" s="308">
        <v>36</v>
      </c>
      <c r="KL15" s="309"/>
      <c r="KM15" s="310"/>
      <c r="KN15" s="57"/>
      <c r="KO15" s="57"/>
      <c r="KP15" s="88">
        <f t="shared" si="24"/>
        <v>36</v>
      </c>
      <c r="KQ15" s="319"/>
      <c r="KR15" s="308"/>
      <c r="KS15" s="308"/>
      <c r="KT15" s="308"/>
      <c r="KU15" s="308">
        <v>13</v>
      </c>
      <c r="KV15" s="377"/>
      <c r="KW15" s="56"/>
      <c r="KX15" s="57">
        <v>257</v>
      </c>
      <c r="KY15" s="57"/>
      <c r="KZ15" s="58">
        <f t="shared" si="25"/>
        <v>13</v>
      </c>
      <c r="LA15" s="81">
        <f t="shared" si="107"/>
        <v>257</v>
      </c>
      <c r="LB15" s="82">
        <f t="shared" si="26"/>
        <v>233</v>
      </c>
      <c r="LC15" s="348">
        <v>250</v>
      </c>
      <c r="LD15" s="82">
        <f t="shared" si="88"/>
        <v>-17</v>
      </c>
      <c r="LE15" s="192">
        <f t="shared" si="89"/>
        <v>0.93200000000000005</v>
      </c>
      <c r="LF15" s="115"/>
      <c r="LG15" s="382" t="s">
        <v>56</v>
      </c>
      <c r="LH15" s="318"/>
      <c r="LI15" s="308"/>
      <c r="LJ15" s="308"/>
      <c r="LK15" s="308"/>
      <c r="LL15" s="308">
        <v>30</v>
      </c>
      <c r="LM15" s="309"/>
      <c r="LN15" s="310"/>
      <c r="LO15" s="57"/>
      <c r="LP15" s="57"/>
      <c r="LQ15" s="58">
        <f t="shared" si="113"/>
        <v>30</v>
      </c>
      <c r="LR15" s="319"/>
      <c r="LS15" s="308"/>
      <c r="LT15" s="308"/>
      <c r="LU15" s="308"/>
      <c r="LV15" s="308">
        <v>29</v>
      </c>
      <c r="LW15" s="309"/>
      <c r="LX15" s="310"/>
      <c r="LY15" s="57"/>
      <c r="LZ15" s="57"/>
      <c r="MA15" s="58">
        <f t="shared" ref="MA15:MA29" si="126">+LR15+LS15+LT15+LU15+LV15+LW15</f>
        <v>29</v>
      </c>
      <c r="MB15" s="319"/>
      <c r="MC15" s="308"/>
      <c r="MD15" s="308"/>
      <c r="ME15" s="308"/>
      <c r="MF15" s="308">
        <v>23</v>
      </c>
      <c r="MG15" s="309"/>
      <c r="MH15" s="310"/>
      <c r="MI15" s="57"/>
      <c r="MJ15" s="57"/>
      <c r="MK15" s="58">
        <f t="shared" si="29"/>
        <v>23</v>
      </c>
      <c r="ML15" s="319"/>
      <c r="MM15" s="308"/>
      <c r="MN15" s="308"/>
      <c r="MO15" s="308"/>
      <c r="MP15" s="308">
        <v>51</v>
      </c>
      <c r="MQ15" s="309"/>
      <c r="MR15" s="310"/>
      <c r="MS15" s="57"/>
      <c r="MT15" s="57"/>
      <c r="MU15" s="88">
        <f t="shared" si="30"/>
        <v>51</v>
      </c>
      <c r="MV15" s="319"/>
      <c r="MW15" s="308"/>
      <c r="MX15" s="308"/>
      <c r="MY15" s="308"/>
      <c r="MZ15" s="308">
        <v>46</v>
      </c>
      <c r="NA15" s="377"/>
      <c r="NB15" s="310"/>
      <c r="NC15" s="57">
        <v>231</v>
      </c>
      <c r="ND15" s="57"/>
      <c r="NE15" s="58">
        <f t="shared" si="31"/>
        <v>46</v>
      </c>
      <c r="NF15" s="117">
        <f t="shared" si="90"/>
        <v>231</v>
      </c>
      <c r="NG15" s="93">
        <f t="shared" si="32"/>
        <v>179</v>
      </c>
      <c r="NH15" s="349">
        <v>250</v>
      </c>
      <c r="NI15" s="93">
        <f t="shared" si="91"/>
        <v>-71</v>
      </c>
      <c r="NJ15" s="196">
        <f t="shared" si="108"/>
        <v>0.71599999999999997</v>
      </c>
      <c r="NK15" s="119"/>
      <c r="NL15" s="382" t="s">
        <v>56</v>
      </c>
      <c r="NM15" s="318"/>
      <c r="NN15" s="308"/>
      <c r="NO15" s="308"/>
      <c r="NP15" s="308"/>
      <c r="NQ15" s="308">
        <v>66</v>
      </c>
      <c r="NR15" s="309"/>
      <c r="NS15" s="310"/>
      <c r="NT15" s="57"/>
      <c r="NU15" s="57"/>
      <c r="NV15" s="58">
        <f t="shared" si="114"/>
        <v>66</v>
      </c>
      <c r="NW15" s="319"/>
      <c r="NX15" s="308"/>
      <c r="NY15" s="308"/>
      <c r="NZ15" s="308"/>
      <c r="OA15" s="308">
        <v>37</v>
      </c>
      <c r="OB15" s="309"/>
      <c r="OC15" s="310"/>
      <c r="OD15" s="57"/>
      <c r="OE15" s="57"/>
      <c r="OF15" s="58">
        <f t="shared" ref="OF15:OF29" si="127">+NW15+NX15+NY15+NZ15+OA15+OB15</f>
        <v>37</v>
      </c>
      <c r="OG15" s="319"/>
      <c r="OH15" s="308"/>
      <c r="OI15" s="308"/>
      <c r="OJ15" s="308"/>
      <c r="OK15" s="308">
        <v>48</v>
      </c>
      <c r="OL15" s="309"/>
      <c r="OM15" s="310"/>
      <c r="ON15" s="57"/>
      <c r="OO15" s="57"/>
      <c r="OP15" s="58">
        <f t="shared" si="35"/>
        <v>48</v>
      </c>
      <c r="OQ15" s="319"/>
      <c r="OR15" s="308"/>
      <c r="OS15" s="308"/>
      <c r="OT15" s="308"/>
      <c r="OU15" s="308">
        <v>25</v>
      </c>
      <c r="OV15" s="309"/>
      <c r="OW15" s="310"/>
      <c r="OX15" s="57"/>
      <c r="OY15" s="57"/>
      <c r="OZ15" s="88">
        <f t="shared" si="36"/>
        <v>25</v>
      </c>
      <c r="PA15" s="319"/>
      <c r="PB15" s="308"/>
      <c r="PC15" s="308"/>
      <c r="PD15" s="308"/>
      <c r="PE15" s="308">
        <v>28</v>
      </c>
      <c r="PF15" s="377"/>
      <c r="PG15" s="310"/>
      <c r="PH15" s="57"/>
      <c r="PI15" s="57"/>
      <c r="PJ15" s="58">
        <f t="shared" si="37"/>
        <v>28</v>
      </c>
      <c r="PK15" s="99">
        <f t="shared" si="38"/>
        <v>0</v>
      </c>
      <c r="PL15" s="100">
        <f t="shared" si="39"/>
        <v>204</v>
      </c>
      <c r="PM15" s="346">
        <v>250</v>
      </c>
      <c r="PN15" s="100">
        <f t="shared" si="92"/>
        <v>-46</v>
      </c>
      <c r="PO15" s="198">
        <f t="shared" si="109"/>
        <v>0.81599999999999995</v>
      </c>
      <c r="PP15" s="119"/>
      <c r="PQ15" s="382" t="s">
        <v>56</v>
      </c>
      <c r="PR15" s="318"/>
      <c r="PS15" s="308"/>
      <c r="PT15" s="308"/>
      <c r="PU15" s="308"/>
      <c r="PV15" s="308">
        <v>60</v>
      </c>
      <c r="PW15" s="309"/>
      <c r="PX15" s="310"/>
      <c r="PY15" s="57"/>
      <c r="PZ15" s="57"/>
      <c r="QA15" s="58">
        <f t="shared" si="115"/>
        <v>60</v>
      </c>
      <c r="QB15" s="319"/>
      <c r="QC15" s="308"/>
      <c r="QD15" s="308"/>
      <c r="QE15" s="308"/>
      <c r="QF15" s="308">
        <v>21</v>
      </c>
      <c r="QG15" s="309"/>
      <c r="QH15" s="310"/>
      <c r="QI15" s="57"/>
      <c r="QJ15" s="57"/>
      <c r="QK15" s="58">
        <f t="shared" ref="QK15:QK29" si="128">+QB15+QC15+QD15+QE15+QF15+QG15</f>
        <v>21</v>
      </c>
      <c r="QL15" s="319"/>
      <c r="QM15" s="308"/>
      <c r="QN15" s="308"/>
      <c r="QO15" s="308"/>
      <c r="QP15" s="308">
        <v>48</v>
      </c>
      <c r="QQ15" s="309"/>
      <c r="QR15" s="310"/>
      <c r="QS15" s="57"/>
      <c r="QT15" s="57"/>
      <c r="QU15" s="58">
        <f t="shared" si="42"/>
        <v>48</v>
      </c>
      <c r="QV15" s="319"/>
      <c r="QW15" s="308"/>
      <c r="QX15" s="308"/>
      <c r="QY15" s="308"/>
      <c r="QZ15" s="308">
        <v>54</v>
      </c>
      <c r="RA15" s="309"/>
      <c r="RB15" s="310"/>
      <c r="RC15" s="57"/>
      <c r="RD15" s="57"/>
      <c r="RE15" s="88">
        <f t="shared" si="43"/>
        <v>54</v>
      </c>
      <c r="RF15" s="319"/>
      <c r="RG15" s="308"/>
      <c r="RH15" s="308"/>
      <c r="RI15" s="308"/>
      <c r="RJ15" s="308">
        <v>67</v>
      </c>
      <c r="RK15" s="377"/>
      <c r="RL15" s="310"/>
      <c r="RM15" s="57">
        <v>282</v>
      </c>
      <c r="RN15" s="57"/>
      <c r="RO15" s="58">
        <f t="shared" si="44"/>
        <v>67</v>
      </c>
      <c r="RP15" s="121">
        <f t="shared" si="93"/>
        <v>282</v>
      </c>
      <c r="RQ15" s="104">
        <f t="shared" si="45"/>
        <v>250</v>
      </c>
      <c r="RR15" s="350">
        <v>250</v>
      </c>
      <c r="RS15" s="104">
        <f t="shared" si="94"/>
        <v>0</v>
      </c>
      <c r="RT15" s="205">
        <f t="shared" si="110"/>
        <v>1</v>
      </c>
      <c r="RV15" s="123">
        <f t="shared" si="95"/>
        <v>770</v>
      </c>
      <c r="RW15" s="124">
        <f t="shared" si="95"/>
        <v>866</v>
      </c>
      <c r="RX15" s="124">
        <f t="shared" si="95"/>
        <v>1000</v>
      </c>
      <c r="RY15" s="125">
        <f t="shared" si="96"/>
        <v>0.86599999999999999</v>
      </c>
      <c r="SA15" s="165" t="s">
        <v>56</v>
      </c>
      <c r="SB15" s="324"/>
      <c r="SC15" s="200"/>
      <c r="SD15" s="200"/>
      <c r="SE15" s="200"/>
      <c r="SF15" s="200">
        <v>39</v>
      </c>
      <c r="SG15" s="325"/>
      <c r="SH15" s="326"/>
      <c r="SI15" s="134"/>
      <c r="SJ15" s="134"/>
      <c r="SK15" s="131">
        <f t="shared" si="116"/>
        <v>39</v>
      </c>
      <c r="SL15" s="327"/>
      <c r="SM15" s="200"/>
      <c r="SN15" s="200"/>
      <c r="SO15" s="200"/>
      <c r="SP15" s="200">
        <v>25</v>
      </c>
      <c r="SQ15" s="325"/>
      <c r="SR15" s="326"/>
      <c r="SS15" s="134"/>
      <c r="ST15" s="134"/>
      <c r="SU15" s="131">
        <f t="shared" ref="SU15:SU30" si="129">+SL15+SM15+SN15+SO15+SP15+SQ15</f>
        <v>25</v>
      </c>
      <c r="SV15" s="327"/>
      <c r="SW15" s="200"/>
      <c r="SX15" s="200"/>
      <c r="SY15" s="200"/>
      <c r="SZ15" s="200">
        <v>51</v>
      </c>
      <c r="TA15" s="325"/>
      <c r="TB15" s="326"/>
      <c r="TC15" s="134"/>
      <c r="TD15" s="134"/>
      <c r="TE15" s="131">
        <f t="shared" si="117"/>
        <v>51</v>
      </c>
      <c r="TF15" s="327"/>
      <c r="TG15" s="200"/>
      <c r="TH15" s="200"/>
      <c r="TI15" s="200"/>
      <c r="TJ15" s="200">
        <v>48</v>
      </c>
      <c r="TK15" s="325"/>
      <c r="TL15" s="326"/>
      <c r="TM15" s="134"/>
      <c r="TN15" s="134"/>
      <c r="TO15" s="131">
        <f t="shared" si="49"/>
        <v>48</v>
      </c>
      <c r="TP15" s="327"/>
      <c r="TQ15" s="200"/>
      <c r="TR15" s="200"/>
      <c r="TS15" s="200"/>
      <c r="TT15" s="200">
        <v>75</v>
      </c>
      <c r="TU15" s="325"/>
      <c r="TV15" s="326"/>
      <c r="TW15" s="134"/>
      <c r="TX15" s="134"/>
      <c r="TY15" s="136">
        <f t="shared" si="50"/>
        <v>75</v>
      </c>
      <c r="TZ15" s="209">
        <f t="shared" si="97"/>
        <v>0</v>
      </c>
      <c r="UA15" s="210">
        <f t="shared" si="97"/>
        <v>238</v>
      </c>
      <c r="UB15" s="210">
        <v>250</v>
      </c>
      <c r="UC15" s="211">
        <f t="shared" si="51"/>
        <v>0.95199999999999996</v>
      </c>
      <c r="UD15" s="140"/>
      <c r="UE15" s="220" t="s">
        <v>56</v>
      </c>
      <c r="UF15" s="324"/>
      <c r="UG15" s="200"/>
      <c r="UH15" s="200"/>
      <c r="UI15" s="200"/>
      <c r="UJ15" s="200">
        <v>101</v>
      </c>
      <c r="UK15" s="325"/>
      <c r="UL15" s="326"/>
      <c r="UM15" s="134"/>
      <c r="UN15" s="134"/>
      <c r="UO15" s="131">
        <f t="shared" si="118"/>
        <v>101</v>
      </c>
      <c r="UP15" s="327"/>
      <c r="UQ15" s="200"/>
      <c r="UR15" s="200"/>
      <c r="US15" s="200">
        <v>12</v>
      </c>
      <c r="UT15" s="200">
        <v>30</v>
      </c>
      <c r="UU15" s="325"/>
      <c r="UV15" s="326"/>
      <c r="UW15" s="134"/>
      <c r="UX15" s="134"/>
      <c r="UY15" s="131">
        <f t="shared" ref="UY15:UY30" si="130">+UP15+UQ15+UR15+US15+UT15+UU15</f>
        <v>42</v>
      </c>
      <c r="UZ15" s="327"/>
      <c r="VA15" s="200"/>
      <c r="VB15" s="200"/>
      <c r="VC15" s="200"/>
      <c r="VD15" s="200">
        <v>35</v>
      </c>
      <c r="VE15" s="325"/>
      <c r="VF15" s="326"/>
      <c r="VG15" s="134"/>
      <c r="VH15" s="134"/>
      <c r="VI15" s="131">
        <f t="shared" si="119"/>
        <v>35</v>
      </c>
      <c r="VJ15" s="327"/>
      <c r="VK15" s="200"/>
      <c r="VL15" s="200"/>
      <c r="VM15" s="200">
        <v>23</v>
      </c>
      <c r="VN15" s="200">
        <v>19</v>
      </c>
      <c r="VO15" s="325"/>
      <c r="VP15" s="326"/>
      <c r="VQ15" s="134"/>
      <c r="VR15" s="134"/>
      <c r="VS15" s="131">
        <f t="shared" si="55"/>
        <v>42</v>
      </c>
      <c r="VT15" s="327"/>
      <c r="VU15" s="200"/>
      <c r="VV15" s="200"/>
      <c r="VW15" s="200"/>
      <c r="VX15" s="200"/>
      <c r="VY15" s="325">
        <v>33</v>
      </c>
      <c r="VZ15" s="326"/>
      <c r="WA15" s="134"/>
      <c r="WB15" s="134"/>
      <c r="WC15" s="131">
        <f t="shared" si="56"/>
        <v>33</v>
      </c>
      <c r="WD15" s="216">
        <f t="shared" si="98"/>
        <v>0</v>
      </c>
      <c r="WE15" s="217">
        <f t="shared" si="98"/>
        <v>253</v>
      </c>
      <c r="WF15" s="217">
        <v>250</v>
      </c>
      <c r="WG15" s="218">
        <f t="shared" si="57"/>
        <v>1.012</v>
      </c>
      <c r="WH15" s="146"/>
      <c r="WI15" s="220" t="s">
        <v>56</v>
      </c>
      <c r="WJ15" s="324"/>
      <c r="WK15" s="200"/>
      <c r="WL15" s="200"/>
      <c r="WM15" s="200"/>
      <c r="WN15" s="200">
        <v>29</v>
      </c>
      <c r="WO15" s="325"/>
      <c r="WP15" s="326"/>
      <c r="WQ15" s="134"/>
      <c r="WR15" s="134"/>
      <c r="WS15" s="131">
        <f t="shared" si="58"/>
        <v>29</v>
      </c>
      <c r="WT15" s="327"/>
      <c r="WU15" s="200"/>
      <c r="WV15" s="200"/>
      <c r="WW15" s="200"/>
      <c r="WX15" s="200"/>
      <c r="WY15" s="325"/>
      <c r="WZ15" s="326"/>
      <c r="XA15" s="134"/>
      <c r="XB15" s="134"/>
      <c r="XC15" s="131">
        <f t="shared" ref="XC15:XC30" si="131">+WT15+WU15+WV15+WW15+WX15+WY15</f>
        <v>0</v>
      </c>
      <c r="XD15" s="327"/>
      <c r="XE15" s="200"/>
      <c r="XF15" s="200"/>
      <c r="XG15" s="200"/>
      <c r="XH15" s="200"/>
      <c r="XI15" s="325"/>
      <c r="XJ15" s="326"/>
      <c r="XK15" s="134"/>
      <c r="XL15" s="134"/>
      <c r="XM15" s="131">
        <f t="shared" si="120"/>
        <v>0</v>
      </c>
      <c r="XN15" s="327"/>
      <c r="XO15" s="200"/>
      <c r="XP15" s="200"/>
      <c r="XQ15" s="200">
        <v>80</v>
      </c>
      <c r="XR15" s="200"/>
      <c r="XS15" s="325"/>
      <c r="XT15" s="326"/>
      <c r="XU15" s="134"/>
      <c r="XV15" s="134"/>
      <c r="XW15" s="131">
        <f t="shared" si="61"/>
        <v>80</v>
      </c>
      <c r="XX15" s="327"/>
      <c r="XY15" s="200"/>
      <c r="XZ15" s="200"/>
      <c r="YA15" s="200">
        <v>94</v>
      </c>
      <c r="YB15" s="200"/>
      <c r="YC15" s="325"/>
      <c r="YD15" s="326"/>
      <c r="YE15" s="134"/>
      <c r="YF15" s="134"/>
      <c r="YG15" s="131">
        <f t="shared" si="62"/>
        <v>94</v>
      </c>
      <c r="YH15" s="221">
        <f t="shared" si="99"/>
        <v>0</v>
      </c>
      <c r="YI15" s="148">
        <f t="shared" si="99"/>
        <v>203</v>
      </c>
      <c r="YJ15" s="222">
        <v>200</v>
      </c>
      <c r="YK15" s="223">
        <f t="shared" si="63"/>
        <v>1.0149999999999999</v>
      </c>
      <c r="YL15" s="224"/>
      <c r="YM15" s="328"/>
      <c r="YN15" s="200"/>
      <c r="YO15" s="200"/>
      <c r="YP15" s="200">
        <v>25</v>
      </c>
      <c r="YQ15" s="200">
        <v>16</v>
      </c>
      <c r="YR15" s="325"/>
      <c r="YS15" s="326"/>
      <c r="YT15" s="134"/>
      <c r="YU15" s="134"/>
      <c r="YV15" s="131">
        <f t="shared" si="121"/>
        <v>41</v>
      </c>
      <c r="YW15" s="327"/>
      <c r="YX15" s="200"/>
      <c r="YY15" s="200"/>
      <c r="YZ15" s="200">
        <v>8</v>
      </c>
      <c r="ZA15" s="200">
        <v>8</v>
      </c>
      <c r="ZB15" s="325"/>
      <c r="ZC15" s="326"/>
      <c r="ZD15" s="134"/>
      <c r="ZE15" s="134"/>
      <c r="ZF15" s="131">
        <f t="shared" ref="ZF15:ZF30" si="132">+YW15+YX15+YY15+YZ15+ZA15+ZB15</f>
        <v>16</v>
      </c>
      <c r="ZG15" s="327"/>
      <c r="ZH15" s="200"/>
      <c r="ZI15" s="200"/>
      <c r="ZJ15" s="200">
        <v>83</v>
      </c>
      <c r="ZK15" s="200"/>
      <c r="ZL15" s="325"/>
      <c r="ZM15" s="326"/>
      <c r="ZN15" s="134"/>
      <c r="ZO15" s="134"/>
      <c r="ZP15" s="131">
        <f t="shared" si="122"/>
        <v>83</v>
      </c>
      <c r="ZQ15" s="327"/>
      <c r="ZR15" s="200"/>
      <c r="ZS15" s="200"/>
      <c r="ZT15" s="200">
        <v>77</v>
      </c>
      <c r="ZU15" s="200"/>
      <c r="ZV15" s="325"/>
      <c r="ZW15" s="326"/>
      <c r="ZX15" s="134"/>
      <c r="ZY15" s="134"/>
      <c r="ZZ15" s="131">
        <f t="shared" si="67"/>
        <v>77</v>
      </c>
      <c r="AAA15" s="327"/>
      <c r="AAB15" s="200"/>
      <c r="AAC15" s="200"/>
      <c r="AAD15" s="200">
        <v>73</v>
      </c>
      <c r="AAE15" s="200"/>
      <c r="AAF15" s="325"/>
      <c r="AAG15" s="326"/>
      <c r="AAH15" s="134"/>
      <c r="AAI15" s="134"/>
      <c r="AAJ15" s="131">
        <f t="shared" si="68"/>
        <v>73</v>
      </c>
      <c r="AAK15" s="226">
        <f t="shared" si="69"/>
        <v>290</v>
      </c>
      <c r="AAL15" s="226">
        <v>250</v>
      </c>
      <c r="AAM15" s="227">
        <f t="shared" si="70"/>
        <v>1.1599999999999999</v>
      </c>
      <c r="AAN15" s="329" t="s">
        <v>56</v>
      </c>
      <c r="AAO15" s="324"/>
      <c r="AAP15" s="200"/>
      <c r="AAQ15" s="200"/>
      <c r="AAR15" s="200"/>
      <c r="AAS15" s="200"/>
      <c r="AAT15" s="325"/>
      <c r="AAU15" s="326"/>
      <c r="AAV15" s="134"/>
      <c r="AAW15" s="134"/>
      <c r="AAX15" s="155"/>
      <c r="AAY15" s="131">
        <f t="shared" si="123"/>
        <v>0</v>
      </c>
      <c r="AAZ15" s="327"/>
      <c r="ABA15" s="200"/>
      <c r="ABB15" s="200"/>
      <c r="ABC15" s="200"/>
      <c r="ABD15" s="200">
        <v>76</v>
      </c>
      <c r="ABE15" s="325"/>
      <c r="ABF15" s="326"/>
      <c r="ABG15" s="134"/>
      <c r="ABH15" s="134"/>
      <c r="ABI15" s="131">
        <f t="shared" si="71"/>
        <v>76</v>
      </c>
      <c r="ABJ15" s="327"/>
      <c r="ABK15" s="200"/>
      <c r="ABL15" s="200"/>
      <c r="ABM15" s="200">
        <v>20</v>
      </c>
      <c r="ABN15" s="200">
        <v>16</v>
      </c>
      <c r="ABO15" s="325"/>
      <c r="ABP15" s="326"/>
      <c r="ABQ15" s="134"/>
      <c r="ABR15" s="134"/>
      <c r="ABS15" s="131">
        <f t="shared" si="124"/>
        <v>36</v>
      </c>
      <c r="ABT15" s="327"/>
      <c r="ABU15" s="200"/>
      <c r="ABV15" s="200"/>
      <c r="ABW15" s="200">
        <v>92</v>
      </c>
      <c r="ABX15" s="200">
        <v>31</v>
      </c>
      <c r="ABY15" s="325"/>
      <c r="ABZ15" s="326"/>
      <c r="ACA15" s="134"/>
      <c r="ACB15" s="134"/>
      <c r="ACC15" s="131">
        <f t="shared" si="73"/>
        <v>123</v>
      </c>
      <c r="ACD15" s="327"/>
      <c r="ACE15" s="200"/>
      <c r="ACF15" s="200"/>
      <c r="ACG15" s="200"/>
      <c r="ACH15" s="200">
        <v>54</v>
      </c>
      <c r="ACI15" s="325"/>
      <c r="ACJ15" s="326"/>
      <c r="ACK15" s="134"/>
      <c r="ACL15" s="134"/>
      <c r="ACM15" s="131">
        <f t="shared" si="74"/>
        <v>54</v>
      </c>
      <c r="ACN15" s="156">
        <f t="shared" si="75"/>
        <v>0</v>
      </c>
      <c r="ACO15" s="157"/>
      <c r="ACP15" s="229">
        <f t="shared" si="100"/>
        <v>289</v>
      </c>
      <c r="ACQ15" s="229">
        <v>200</v>
      </c>
      <c r="ACR15" s="230">
        <f t="shared" si="101"/>
        <v>1.4450000000000001</v>
      </c>
      <c r="ACS15" s="231">
        <f t="shared" si="76"/>
        <v>1273</v>
      </c>
      <c r="ACT15" s="207">
        <f t="shared" si="76"/>
        <v>1150</v>
      </c>
      <c r="ACU15" s="208">
        <f t="shared" si="102"/>
        <v>1.1069565217391304</v>
      </c>
      <c r="ACW15" s="163">
        <f t="shared" si="103"/>
        <v>0.95519603356216631</v>
      </c>
      <c r="ACX15" s="5">
        <v>2</v>
      </c>
    </row>
    <row r="16" spans="1:778" s="102" customFormat="1" x14ac:dyDescent="0.35">
      <c r="A16" s="51" t="s">
        <v>46</v>
      </c>
      <c r="B16" s="165" t="s">
        <v>91</v>
      </c>
      <c r="C16" s="307">
        <v>29</v>
      </c>
      <c r="D16" s="308">
        <v>45</v>
      </c>
      <c r="E16" s="308"/>
      <c r="F16" s="308"/>
      <c r="G16" s="308">
        <v>3</v>
      </c>
      <c r="H16" s="309"/>
      <c r="I16" s="310"/>
      <c r="J16" s="57"/>
      <c r="K16" s="58">
        <f t="shared" si="0"/>
        <v>77</v>
      </c>
      <c r="L16" s="319">
        <f>38+21</f>
        <v>59</v>
      </c>
      <c r="M16" s="308">
        <f>21+14</f>
        <v>35</v>
      </c>
      <c r="N16" s="308"/>
      <c r="O16" s="308"/>
      <c r="P16" s="308">
        <v>8</v>
      </c>
      <c r="Q16" s="309"/>
      <c r="R16" s="310"/>
      <c r="S16" s="57"/>
      <c r="T16" s="58">
        <f t="shared" si="1"/>
        <v>102</v>
      </c>
      <c r="U16" s="314"/>
      <c r="V16" s="315"/>
      <c r="W16" s="315"/>
      <c r="X16" s="315"/>
      <c r="Y16" s="315"/>
      <c r="Z16" s="316"/>
      <c r="AA16" s="317"/>
      <c r="AB16" s="66"/>
      <c r="AC16" s="67">
        <f t="shared" si="2"/>
        <v>0</v>
      </c>
      <c r="AD16" s="319">
        <v>44</v>
      </c>
      <c r="AE16" s="308">
        <v>48</v>
      </c>
      <c r="AF16" s="308"/>
      <c r="AG16" s="308"/>
      <c r="AH16" s="308"/>
      <c r="AI16" s="309"/>
      <c r="AJ16" s="310"/>
      <c r="AK16" s="57"/>
      <c r="AL16" s="88">
        <f t="shared" si="3"/>
        <v>92</v>
      </c>
      <c r="AM16" s="319">
        <f>38+26</f>
        <v>64</v>
      </c>
      <c r="AN16" s="308"/>
      <c r="AO16" s="308"/>
      <c r="AP16" s="308"/>
      <c r="AQ16" s="308">
        <v>2</v>
      </c>
      <c r="AR16" s="377"/>
      <c r="AS16" s="310"/>
      <c r="AT16" s="57"/>
      <c r="AU16" s="58">
        <f t="shared" si="4"/>
        <v>66</v>
      </c>
      <c r="AV16" s="81">
        <v>571</v>
      </c>
      <c r="AW16" s="82">
        <f t="shared" si="77"/>
        <v>337</v>
      </c>
      <c r="AX16" s="82">
        <v>200</v>
      </c>
      <c r="AY16" s="172">
        <f t="shared" si="5"/>
        <v>1.6850000000000001</v>
      </c>
      <c r="AZ16" s="84"/>
      <c r="BA16" s="307">
        <f>25+12+17</f>
        <v>54</v>
      </c>
      <c r="BB16" s="308"/>
      <c r="BC16" s="308"/>
      <c r="BD16" s="308"/>
      <c r="BE16" s="308">
        <v>2</v>
      </c>
      <c r="BF16" s="309"/>
      <c r="BG16" s="310"/>
      <c r="BH16" s="57"/>
      <c r="BI16" s="86">
        <f t="shared" si="6"/>
        <v>56</v>
      </c>
      <c r="BJ16" s="318"/>
      <c r="BK16" s="308">
        <v>13</v>
      </c>
      <c r="BL16" s="308"/>
      <c r="BM16" s="308"/>
      <c r="BN16" s="308">
        <f>25+29</f>
        <v>54</v>
      </c>
      <c r="BO16" s="309"/>
      <c r="BP16" s="310"/>
      <c r="BQ16" s="57"/>
      <c r="BR16" s="58">
        <f t="shared" si="7"/>
        <v>67</v>
      </c>
      <c r="BS16" s="319">
        <v>7</v>
      </c>
      <c r="BT16" s="308">
        <v>17</v>
      </c>
      <c r="BU16" s="308"/>
      <c r="BV16" s="308"/>
      <c r="BW16" s="308">
        <f>61+33</f>
        <v>94</v>
      </c>
      <c r="BX16" s="309"/>
      <c r="BY16" s="310"/>
      <c r="BZ16" s="57"/>
      <c r="CA16" s="58">
        <f t="shared" si="105"/>
        <v>118</v>
      </c>
      <c r="CB16" s="319">
        <v>15</v>
      </c>
      <c r="CC16" s="308">
        <f>23+16</f>
        <v>39</v>
      </c>
      <c r="CD16" s="308"/>
      <c r="CE16" s="308"/>
      <c r="CF16" s="308"/>
      <c r="CG16" s="309"/>
      <c r="CH16" s="310"/>
      <c r="CI16" s="57"/>
      <c r="CJ16" s="88">
        <f t="shared" si="106"/>
        <v>54</v>
      </c>
      <c r="CK16" s="319">
        <v>26</v>
      </c>
      <c r="CL16" s="308">
        <v>25</v>
      </c>
      <c r="CM16" s="308"/>
      <c r="CN16" s="308"/>
      <c r="CO16" s="308">
        <v>7</v>
      </c>
      <c r="CP16" s="377"/>
      <c r="CQ16" s="310"/>
      <c r="CR16" s="57"/>
      <c r="CS16" s="91">
        <f t="shared" si="78"/>
        <v>58</v>
      </c>
      <c r="CT16" s="92">
        <v>635</v>
      </c>
      <c r="CU16" s="93">
        <f t="shared" si="79"/>
        <v>353</v>
      </c>
      <c r="CV16" s="93">
        <v>250</v>
      </c>
      <c r="CW16" s="175">
        <f t="shared" si="8"/>
        <v>1.4119999999999999</v>
      </c>
      <c r="CX16" s="95"/>
      <c r="CY16" s="307">
        <f>30+13+26</f>
        <v>69</v>
      </c>
      <c r="CZ16" s="308"/>
      <c r="DA16" s="308"/>
      <c r="DB16" s="308"/>
      <c r="DC16" s="308"/>
      <c r="DD16" s="309"/>
      <c r="DE16" s="310"/>
      <c r="DF16" s="57"/>
      <c r="DG16" s="58">
        <f t="shared" si="9"/>
        <v>69</v>
      </c>
      <c r="DH16" s="319">
        <v>38</v>
      </c>
      <c r="DI16" s="308">
        <v>19</v>
      </c>
      <c r="DJ16" s="308"/>
      <c r="DK16" s="308"/>
      <c r="DL16" s="308">
        <v>13</v>
      </c>
      <c r="DM16" s="309"/>
      <c r="DN16" s="310"/>
      <c r="DO16" s="57"/>
      <c r="DP16" s="58">
        <f t="shared" si="10"/>
        <v>70</v>
      </c>
      <c r="DQ16" s="319">
        <v>17</v>
      </c>
      <c r="DR16" s="308">
        <v>3</v>
      </c>
      <c r="DS16" s="308"/>
      <c r="DT16" s="308"/>
      <c r="DU16" s="308">
        <f>29+42+7</f>
        <v>78</v>
      </c>
      <c r="DV16" s="309"/>
      <c r="DW16" s="310"/>
      <c r="DX16" s="57"/>
      <c r="DY16" s="58">
        <f t="shared" si="80"/>
        <v>98</v>
      </c>
      <c r="DZ16" s="319">
        <v>8</v>
      </c>
      <c r="EA16" s="308"/>
      <c r="EB16" s="308"/>
      <c r="EC16" s="308"/>
      <c r="ED16" s="308">
        <f>38+29</f>
        <v>67</v>
      </c>
      <c r="EE16" s="309"/>
      <c r="EF16" s="310"/>
      <c r="EG16" s="57"/>
      <c r="EH16" s="96">
        <f t="shared" si="81"/>
        <v>75</v>
      </c>
      <c r="EI16" s="379">
        <v>19</v>
      </c>
      <c r="EJ16" s="308">
        <v>45</v>
      </c>
      <c r="EK16" s="308"/>
      <c r="EL16" s="308"/>
      <c r="EM16" s="308">
        <v>4</v>
      </c>
      <c r="EN16" s="377"/>
      <c r="EO16" s="310"/>
      <c r="EP16" s="57"/>
      <c r="EQ16" s="98">
        <f t="shared" si="82"/>
        <v>68</v>
      </c>
      <c r="ER16" s="99">
        <v>598</v>
      </c>
      <c r="ES16" s="100">
        <f t="shared" si="111"/>
        <v>380</v>
      </c>
      <c r="ET16" s="346">
        <v>250</v>
      </c>
      <c r="EU16" s="177">
        <f t="shared" si="11"/>
        <v>1.52</v>
      </c>
      <c r="EW16" s="307">
        <v>85</v>
      </c>
      <c r="EX16" s="308"/>
      <c r="EY16" s="308"/>
      <c r="EZ16" s="308"/>
      <c r="FA16" s="308"/>
      <c r="FB16" s="309"/>
      <c r="FC16" s="310"/>
      <c r="FD16" s="57"/>
      <c r="FE16" s="58">
        <f t="shared" si="12"/>
        <v>85</v>
      </c>
      <c r="FF16" s="319">
        <v>42</v>
      </c>
      <c r="FG16" s="308">
        <v>38</v>
      </c>
      <c r="FH16" s="308"/>
      <c r="FI16" s="308"/>
      <c r="FJ16" s="308">
        <v>1</v>
      </c>
      <c r="FK16" s="309"/>
      <c r="FL16" s="310"/>
      <c r="FM16" s="57"/>
      <c r="FN16" s="58">
        <f t="shared" si="13"/>
        <v>81</v>
      </c>
      <c r="FO16" s="319"/>
      <c r="FP16" s="308"/>
      <c r="FQ16" s="308"/>
      <c r="FR16" s="308"/>
      <c r="FS16" s="308">
        <v>67</v>
      </c>
      <c r="FT16" s="309"/>
      <c r="FU16" s="310"/>
      <c r="FV16" s="57"/>
      <c r="FW16" s="58">
        <f t="shared" si="83"/>
        <v>67</v>
      </c>
      <c r="FX16" s="319">
        <v>7</v>
      </c>
      <c r="FY16" s="308">
        <v>5</v>
      </c>
      <c r="FZ16" s="308"/>
      <c r="GA16" s="308"/>
      <c r="GB16" s="308">
        <v>49</v>
      </c>
      <c r="GC16" s="309"/>
      <c r="GD16" s="310"/>
      <c r="GE16" s="57"/>
      <c r="GF16" s="58">
        <f t="shared" si="84"/>
        <v>61</v>
      </c>
      <c r="GG16" s="319">
        <v>13</v>
      </c>
      <c r="GH16" s="308">
        <v>15</v>
      </c>
      <c r="GI16" s="308"/>
      <c r="GJ16" s="308"/>
      <c r="GK16" s="308">
        <f>46+48+5</f>
        <v>99</v>
      </c>
      <c r="GL16" s="377"/>
      <c r="GM16" s="310"/>
      <c r="GN16" s="57"/>
      <c r="GO16" s="58">
        <f t="shared" si="85"/>
        <v>127</v>
      </c>
      <c r="GP16" s="103">
        <v>657</v>
      </c>
      <c r="GQ16" s="104">
        <f t="shared" si="86"/>
        <v>421</v>
      </c>
      <c r="GR16" s="104">
        <v>250</v>
      </c>
      <c r="GS16" s="178">
        <f t="shared" si="14"/>
        <v>1.6839999999999999</v>
      </c>
      <c r="GT16" s="307"/>
      <c r="GU16" s="308"/>
      <c r="GV16" s="308"/>
      <c r="GW16" s="308"/>
      <c r="GX16" s="308"/>
      <c r="GY16" s="309"/>
      <c r="GZ16" s="310"/>
      <c r="HA16" s="57"/>
      <c r="HB16" s="57"/>
      <c r="HC16" s="58">
        <f t="shared" si="15"/>
        <v>0</v>
      </c>
      <c r="HD16" s="319"/>
      <c r="HE16" s="308"/>
      <c r="HF16" s="308"/>
      <c r="HG16" s="308"/>
      <c r="HH16" s="308"/>
      <c r="HI16" s="309"/>
      <c r="HJ16" s="310"/>
      <c r="HK16" s="57"/>
      <c r="HL16" s="57"/>
      <c r="HM16" s="58">
        <f t="shared" si="16"/>
        <v>0</v>
      </c>
      <c r="HN16" s="319"/>
      <c r="HO16" s="308"/>
      <c r="HP16" s="308"/>
      <c r="HQ16" s="308"/>
      <c r="HR16" s="308"/>
      <c r="HS16" s="309"/>
      <c r="HT16" s="310"/>
      <c r="HU16" s="57"/>
      <c r="HV16" s="57"/>
      <c r="HW16" s="58">
        <f t="shared" si="17"/>
        <v>0</v>
      </c>
      <c r="HX16" s="319"/>
      <c r="HY16" s="308"/>
      <c r="HZ16" s="308"/>
      <c r="IA16" s="308"/>
      <c r="IB16" s="308"/>
      <c r="IC16" s="309"/>
      <c r="ID16" s="310"/>
      <c r="IE16" s="57"/>
      <c r="IF16" s="57"/>
      <c r="IG16" s="88">
        <f t="shared" si="18"/>
        <v>0</v>
      </c>
      <c r="IH16" s="319"/>
      <c r="II16" s="308"/>
      <c r="IJ16" s="308"/>
      <c r="IK16" s="308"/>
      <c r="IL16" s="308"/>
      <c r="IM16" s="377"/>
      <c r="IN16" s="310"/>
      <c r="IO16" s="57"/>
      <c r="IP16" s="57"/>
      <c r="IQ16" s="58">
        <f t="shared" si="19"/>
        <v>0</v>
      </c>
      <c r="IR16" s="106"/>
      <c r="IS16" s="107"/>
      <c r="IT16" s="107"/>
      <c r="IU16" s="179"/>
      <c r="IV16" s="95"/>
      <c r="IW16" s="109">
        <f t="shared" si="87"/>
        <v>2461</v>
      </c>
      <c r="IX16" s="110">
        <f t="shared" si="87"/>
        <v>1491</v>
      </c>
      <c r="IY16" s="110">
        <f t="shared" si="87"/>
        <v>950</v>
      </c>
      <c r="IZ16" s="347">
        <f t="shared" si="20"/>
        <v>1.5694736842105264</v>
      </c>
      <c r="JB16" s="381" t="s">
        <v>57</v>
      </c>
      <c r="JC16" s="318">
        <v>41</v>
      </c>
      <c r="JD16" s="308">
        <v>15</v>
      </c>
      <c r="JE16" s="308"/>
      <c r="JF16" s="308"/>
      <c r="JG16" s="308">
        <v>5</v>
      </c>
      <c r="JH16" s="309"/>
      <c r="JI16" s="310"/>
      <c r="JJ16" s="57"/>
      <c r="JK16" s="57"/>
      <c r="JL16" s="58">
        <f t="shared" si="112"/>
        <v>61</v>
      </c>
      <c r="JM16" s="319">
        <v>45</v>
      </c>
      <c r="JN16" s="308">
        <v>27</v>
      </c>
      <c r="JO16" s="308"/>
      <c r="JP16" s="308"/>
      <c r="JQ16" s="308">
        <v>6</v>
      </c>
      <c r="JR16" s="309"/>
      <c r="JS16" s="310"/>
      <c r="JT16" s="57"/>
      <c r="JU16" s="57"/>
      <c r="JV16" s="58">
        <f t="shared" si="125"/>
        <v>78</v>
      </c>
      <c r="JW16" s="319">
        <v>19</v>
      </c>
      <c r="JX16" s="308">
        <v>21</v>
      </c>
      <c r="JY16" s="308"/>
      <c r="JZ16" s="308"/>
      <c r="KA16" s="308">
        <v>7</v>
      </c>
      <c r="KB16" s="309"/>
      <c r="KC16" s="310"/>
      <c r="KD16" s="57"/>
      <c r="KE16" s="57"/>
      <c r="KF16" s="58">
        <f t="shared" si="23"/>
        <v>47</v>
      </c>
      <c r="KG16" s="319">
        <v>32</v>
      </c>
      <c r="KH16" s="308">
        <v>33</v>
      </c>
      <c r="KI16" s="308"/>
      <c r="KJ16" s="308"/>
      <c r="KK16" s="308">
        <v>7</v>
      </c>
      <c r="KL16" s="309"/>
      <c r="KM16" s="310"/>
      <c r="KN16" s="57"/>
      <c r="KO16" s="57"/>
      <c r="KP16" s="88">
        <f t="shared" si="24"/>
        <v>72</v>
      </c>
      <c r="KQ16" s="319">
        <v>14</v>
      </c>
      <c r="KR16" s="308">
        <v>23</v>
      </c>
      <c r="KS16" s="308"/>
      <c r="KT16" s="308"/>
      <c r="KU16" s="308">
        <v>17</v>
      </c>
      <c r="KV16" s="377"/>
      <c r="KW16" s="56"/>
      <c r="KX16" s="57">
        <v>654</v>
      </c>
      <c r="KY16" s="57"/>
      <c r="KZ16" s="58">
        <f t="shared" si="25"/>
        <v>54</v>
      </c>
      <c r="LA16" s="81">
        <f t="shared" si="107"/>
        <v>654</v>
      </c>
      <c r="LB16" s="82">
        <f t="shared" si="26"/>
        <v>312</v>
      </c>
      <c r="LC16" s="348">
        <v>250</v>
      </c>
      <c r="LD16" s="82">
        <f t="shared" si="88"/>
        <v>62</v>
      </c>
      <c r="LE16" s="192">
        <f t="shared" si="89"/>
        <v>1.248</v>
      </c>
      <c r="LF16" s="115"/>
      <c r="LG16" s="382" t="s">
        <v>57</v>
      </c>
      <c r="LH16" s="318">
        <v>13</v>
      </c>
      <c r="LI16" s="308">
        <v>46</v>
      </c>
      <c r="LJ16" s="308"/>
      <c r="LK16" s="308"/>
      <c r="LL16" s="308">
        <v>10</v>
      </c>
      <c r="LM16" s="309"/>
      <c r="LN16" s="310"/>
      <c r="LO16" s="57"/>
      <c r="LP16" s="57"/>
      <c r="LQ16" s="58">
        <f t="shared" si="113"/>
        <v>69</v>
      </c>
      <c r="LR16" s="319">
        <v>14</v>
      </c>
      <c r="LS16" s="308">
        <v>33</v>
      </c>
      <c r="LT16" s="308"/>
      <c r="LU16" s="308"/>
      <c r="LV16" s="308">
        <v>22</v>
      </c>
      <c r="LW16" s="309"/>
      <c r="LX16" s="310"/>
      <c r="LY16" s="57"/>
      <c r="LZ16" s="57"/>
      <c r="MA16" s="58">
        <f t="shared" si="126"/>
        <v>69</v>
      </c>
      <c r="MB16" s="319">
        <v>19</v>
      </c>
      <c r="MC16" s="308">
        <v>18</v>
      </c>
      <c r="MD16" s="308"/>
      <c r="ME16" s="308"/>
      <c r="MF16" s="308">
        <v>21</v>
      </c>
      <c r="MG16" s="309"/>
      <c r="MH16" s="310"/>
      <c r="MI16" s="57"/>
      <c r="MJ16" s="57"/>
      <c r="MK16" s="58">
        <f t="shared" si="29"/>
        <v>58</v>
      </c>
      <c r="ML16" s="319">
        <v>25</v>
      </c>
      <c r="MM16" s="308">
        <v>10</v>
      </c>
      <c r="MN16" s="308"/>
      <c r="MO16" s="308"/>
      <c r="MP16" s="308">
        <v>21</v>
      </c>
      <c r="MQ16" s="309"/>
      <c r="MR16" s="310"/>
      <c r="MS16" s="57"/>
      <c r="MT16" s="57"/>
      <c r="MU16" s="88">
        <f t="shared" si="30"/>
        <v>56</v>
      </c>
      <c r="MV16" s="319">
        <v>51</v>
      </c>
      <c r="MW16" s="308">
        <v>20</v>
      </c>
      <c r="MX16" s="308"/>
      <c r="MY16" s="308"/>
      <c r="MZ16" s="308">
        <v>3</v>
      </c>
      <c r="NA16" s="377"/>
      <c r="NB16" s="310"/>
      <c r="NC16" s="57">
        <v>532</v>
      </c>
      <c r="ND16" s="57"/>
      <c r="NE16" s="58">
        <f t="shared" si="31"/>
        <v>74</v>
      </c>
      <c r="NF16" s="117">
        <f t="shared" si="90"/>
        <v>532</v>
      </c>
      <c r="NG16" s="93">
        <f t="shared" si="32"/>
        <v>326</v>
      </c>
      <c r="NH16" s="349">
        <v>250</v>
      </c>
      <c r="NI16" s="93">
        <f t="shared" si="91"/>
        <v>76</v>
      </c>
      <c r="NJ16" s="196">
        <f t="shared" si="108"/>
        <v>1.304</v>
      </c>
      <c r="NK16" s="119"/>
      <c r="NL16" s="382" t="s">
        <v>57</v>
      </c>
      <c r="NM16" s="318">
        <v>46</v>
      </c>
      <c r="NN16" s="308">
        <v>28</v>
      </c>
      <c r="NO16" s="308"/>
      <c r="NP16" s="308"/>
      <c r="NQ16" s="308">
        <v>1</v>
      </c>
      <c r="NR16" s="309"/>
      <c r="NS16" s="310"/>
      <c r="NT16" s="57"/>
      <c r="NU16" s="57"/>
      <c r="NV16" s="58">
        <f t="shared" si="114"/>
        <v>75</v>
      </c>
      <c r="NW16" s="319">
        <v>78</v>
      </c>
      <c r="NX16" s="308">
        <v>17</v>
      </c>
      <c r="NY16" s="308"/>
      <c r="NZ16" s="308"/>
      <c r="OA16" s="308">
        <v>8</v>
      </c>
      <c r="OB16" s="309"/>
      <c r="OC16" s="310"/>
      <c r="OD16" s="57"/>
      <c r="OE16" s="57"/>
      <c r="OF16" s="58">
        <f t="shared" si="127"/>
        <v>103</v>
      </c>
      <c r="OG16" s="319">
        <v>46</v>
      </c>
      <c r="OH16" s="308">
        <v>51</v>
      </c>
      <c r="OI16" s="308"/>
      <c r="OJ16" s="308"/>
      <c r="OK16" s="308">
        <v>12</v>
      </c>
      <c r="OL16" s="309"/>
      <c r="OM16" s="310"/>
      <c r="ON16" s="57"/>
      <c r="OO16" s="57"/>
      <c r="OP16" s="58">
        <f t="shared" si="35"/>
        <v>109</v>
      </c>
      <c r="OQ16" s="319"/>
      <c r="OR16" s="308">
        <v>36</v>
      </c>
      <c r="OS16" s="308"/>
      <c r="OT16" s="308"/>
      <c r="OU16" s="308">
        <v>9</v>
      </c>
      <c r="OV16" s="309"/>
      <c r="OW16" s="310"/>
      <c r="OX16" s="57"/>
      <c r="OY16" s="57"/>
      <c r="OZ16" s="88">
        <f t="shared" si="36"/>
        <v>45</v>
      </c>
      <c r="PA16" s="336"/>
      <c r="PB16" s="333"/>
      <c r="PC16" s="333"/>
      <c r="PD16" s="333"/>
      <c r="PE16" s="333"/>
      <c r="PF16" s="337"/>
      <c r="PG16" s="335"/>
      <c r="PH16" s="72"/>
      <c r="PI16" s="72"/>
      <c r="PJ16" s="80">
        <f t="shared" si="37"/>
        <v>0</v>
      </c>
      <c r="PK16" s="99">
        <f t="shared" si="38"/>
        <v>0</v>
      </c>
      <c r="PL16" s="100">
        <f t="shared" si="39"/>
        <v>332</v>
      </c>
      <c r="PM16" s="346">
        <v>250</v>
      </c>
      <c r="PN16" s="100">
        <f t="shared" si="92"/>
        <v>82</v>
      </c>
      <c r="PO16" s="198">
        <f t="shared" si="109"/>
        <v>1.3280000000000001</v>
      </c>
      <c r="PP16" s="119"/>
      <c r="PQ16" s="383" t="s">
        <v>57</v>
      </c>
      <c r="PR16" s="318">
        <v>18</v>
      </c>
      <c r="PS16" s="308">
        <v>35</v>
      </c>
      <c r="PT16" s="308"/>
      <c r="PU16" s="308"/>
      <c r="PV16" s="308">
        <v>5</v>
      </c>
      <c r="PW16" s="309"/>
      <c r="PX16" s="310"/>
      <c r="PY16" s="57"/>
      <c r="PZ16" s="57"/>
      <c r="QA16" s="58">
        <f t="shared" si="115"/>
        <v>58</v>
      </c>
      <c r="QB16" s="319">
        <v>17</v>
      </c>
      <c r="QC16" s="308">
        <v>14</v>
      </c>
      <c r="QD16" s="308"/>
      <c r="QE16" s="308"/>
      <c r="QF16" s="308"/>
      <c r="QG16" s="309"/>
      <c r="QH16" s="310"/>
      <c r="QI16" s="57"/>
      <c r="QJ16" s="57"/>
      <c r="QK16" s="58">
        <f t="shared" si="128"/>
        <v>31</v>
      </c>
      <c r="QL16" s="311">
        <v>26</v>
      </c>
      <c r="QM16" s="312">
        <v>36</v>
      </c>
      <c r="QN16" s="312"/>
      <c r="QO16" s="312"/>
      <c r="QP16" s="312">
        <v>4</v>
      </c>
      <c r="QQ16" s="313"/>
      <c r="QR16" s="310"/>
      <c r="QS16" s="57"/>
      <c r="QT16" s="57"/>
      <c r="QU16" s="58">
        <f t="shared" si="42"/>
        <v>66</v>
      </c>
      <c r="QV16" s="319">
        <v>7</v>
      </c>
      <c r="QW16" s="308">
        <v>64</v>
      </c>
      <c r="QX16" s="308"/>
      <c r="QY16" s="308"/>
      <c r="QZ16" s="308">
        <v>2</v>
      </c>
      <c r="RA16" s="309"/>
      <c r="RB16" s="310"/>
      <c r="RC16" s="57"/>
      <c r="RD16" s="57"/>
      <c r="RE16" s="88">
        <f t="shared" si="43"/>
        <v>73</v>
      </c>
      <c r="RF16" s="319">
        <v>24</v>
      </c>
      <c r="RG16" s="308">
        <v>47</v>
      </c>
      <c r="RH16" s="308"/>
      <c r="RI16" s="308"/>
      <c r="RJ16" s="308">
        <v>1</v>
      </c>
      <c r="RK16" s="377"/>
      <c r="RL16" s="310"/>
      <c r="RM16" s="57">
        <v>531</v>
      </c>
      <c r="RN16" s="57"/>
      <c r="RO16" s="58">
        <f t="shared" si="44"/>
        <v>72</v>
      </c>
      <c r="RP16" s="121">
        <f t="shared" si="93"/>
        <v>531</v>
      </c>
      <c r="RQ16" s="104">
        <f t="shared" si="45"/>
        <v>300</v>
      </c>
      <c r="RR16" s="350">
        <v>250</v>
      </c>
      <c r="RS16" s="104">
        <f t="shared" si="94"/>
        <v>50</v>
      </c>
      <c r="RT16" s="205">
        <f t="shared" si="110"/>
        <v>1.2</v>
      </c>
      <c r="RV16" s="123">
        <f t="shared" si="95"/>
        <v>1717</v>
      </c>
      <c r="RW16" s="124">
        <f t="shared" si="95"/>
        <v>1270</v>
      </c>
      <c r="RX16" s="124">
        <f t="shared" si="95"/>
        <v>1000</v>
      </c>
      <c r="RY16" s="125">
        <f t="shared" si="96"/>
        <v>1.27</v>
      </c>
      <c r="SA16" s="165" t="s">
        <v>57</v>
      </c>
      <c r="SB16" s="324">
        <v>67</v>
      </c>
      <c r="SC16" s="200">
        <v>18</v>
      </c>
      <c r="SD16" s="200"/>
      <c r="SE16" s="200"/>
      <c r="SF16" s="200">
        <v>6</v>
      </c>
      <c r="SG16" s="325"/>
      <c r="SH16" s="326"/>
      <c r="SI16" s="134"/>
      <c r="SJ16" s="134"/>
      <c r="SK16" s="131">
        <f t="shared" si="116"/>
        <v>91</v>
      </c>
      <c r="SL16" s="327">
        <v>44</v>
      </c>
      <c r="SM16" s="200">
        <v>26</v>
      </c>
      <c r="SN16" s="200"/>
      <c r="SO16" s="200"/>
      <c r="SP16" s="200">
        <v>21</v>
      </c>
      <c r="SQ16" s="325"/>
      <c r="SR16" s="326"/>
      <c r="SS16" s="134"/>
      <c r="ST16" s="134"/>
      <c r="SU16" s="131">
        <f t="shared" si="129"/>
        <v>91</v>
      </c>
      <c r="SV16" s="327">
        <v>19</v>
      </c>
      <c r="SW16" s="200">
        <v>44</v>
      </c>
      <c r="SX16" s="200"/>
      <c r="SY16" s="200"/>
      <c r="SZ16" s="200">
        <v>8</v>
      </c>
      <c r="TA16" s="325"/>
      <c r="TB16" s="326"/>
      <c r="TC16" s="134"/>
      <c r="TD16" s="134"/>
      <c r="TE16" s="131">
        <f t="shared" si="117"/>
        <v>71</v>
      </c>
      <c r="TF16" s="327">
        <v>37</v>
      </c>
      <c r="TG16" s="200">
        <v>23</v>
      </c>
      <c r="TH16" s="200"/>
      <c r="TI16" s="200"/>
      <c r="TJ16" s="200">
        <v>7</v>
      </c>
      <c r="TK16" s="325"/>
      <c r="TL16" s="326"/>
      <c r="TM16" s="134"/>
      <c r="TN16" s="134"/>
      <c r="TO16" s="131">
        <f t="shared" si="49"/>
        <v>67</v>
      </c>
      <c r="TP16" s="327">
        <v>11</v>
      </c>
      <c r="TQ16" s="200">
        <v>34</v>
      </c>
      <c r="TR16" s="200"/>
      <c r="TS16" s="200"/>
      <c r="TT16" s="200">
        <v>10</v>
      </c>
      <c r="TU16" s="325"/>
      <c r="TV16" s="326"/>
      <c r="TW16" s="134"/>
      <c r="TX16" s="134"/>
      <c r="TY16" s="136">
        <f t="shared" si="50"/>
        <v>55</v>
      </c>
      <c r="TZ16" s="209">
        <f t="shared" si="97"/>
        <v>0</v>
      </c>
      <c r="UA16" s="210">
        <f t="shared" si="97"/>
        <v>375</v>
      </c>
      <c r="UB16" s="210">
        <v>250</v>
      </c>
      <c r="UC16" s="211">
        <f t="shared" si="51"/>
        <v>1.5</v>
      </c>
      <c r="UD16" s="140"/>
      <c r="UE16" s="220" t="s">
        <v>57</v>
      </c>
      <c r="UF16" s="324">
        <v>3</v>
      </c>
      <c r="UG16" s="200">
        <v>39</v>
      </c>
      <c r="UH16" s="200"/>
      <c r="UI16" s="200"/>
      <c r="UJ16" s="200">
        <v>17</v>
      </c>
      <c r="UK16" s="325"/>
      <c r="UL16" s="326"/>
      <c r="UM16" s="134"/>
      <c r="UN16" s="134"/>
      <c r="UO16" s="131">
        <f t="shared" si="118"/>
        <v>59</v>
      </c>
      <c r="UP16" s="327">
        <v>5</v>
      </c>
      <c r="UQ16" s="200">
        <v>19</v>
      </c>
      <c r="UR16" s="200"/>
      <c r="US16" s="200"/>
      <c r="UT16" s="200">
        <v>4</v>
      </c>
      <c r="UU16" s="325"/>
      <c r="UV16" s="326"/>
      <c r="UW16" s="134"/>
      <c r="UX16" s="134"/>
      <c r="UY16" s="131">
        <f t="shared" si="130"/>
        <v>28</v>
      </c>
      <c r="UZ16" s="327">
        <v>5</v>
      </c>
      <c r="VA16" s="200">
        <v>37</v>
      </c>
      <c r="VB16" s="200"/>
      <c r="VC16" s="200"/>
      <c r="VD16" s="200">
        <v>10</v>
      </c>
      <c r="VE16" s="325"/>
      <c r="VF16" s="326"/>
      <c r="VG16" s="134"/>
      <c r="VH16" s="134"/>
      <c r="VI16" s="131">
        <f t="shared" si="119"/>
        <v>52</v>
      </c>
      <c r="VJ16" s="327">
        <v>23</v>
      </c>
      <c r="VK16" s="200">
        <v>15</v>
      </c>
      <c r="VL16" s="200"/>
      <c r="VM16" s="200"/>
      <c r="VN16" s="200">
        <v>15</v>
      </c>
      <c r="VO16" s="325"/>
      <c r="VP16" s="326"/>
      <c r="VQ16" s="134"/>
      <c r="VR16" s="134"/>
      <c r="VS16" s="131">
        <f t="shared" si="55"/>
        <v>53</v>
      </c>
      <c r="VT16" s="327">
        <v>29</v>
      </c>
      <c r="VU16" s="200">
        <v>24</v>
      </c>
      <c r="VV16" s="200"/>
      <c r="VW16" s="200"/>
      <c r="VX16" s="200"/>
      <c r="VY16" s="325">
        <v>15</v>
      </c>
      <c r="VZ16" s="326"/>
      <c r="WA16" s="134"/>
      <c r="WB16" s="134"/>
      <c r="WC16" s="131">
        <f t="shared" si="56"/>
        <v>68</v>
      </c>
      <c r="WD16" s="216">
        <f t="shared" si="98"/>
        <v>0</v>
      </c>
      <c r="WE16" s="217">
        <f t="shared" si="98"/>
        <v>260</v>
      </c>
      <c r="WF16" s="217">
        <v>250</v>
      </c>
      <c r="WG16" s="218">
        <f t="shared" si="57"/>
        <v>1.04</v>
      </c>
      <c r="WH16" s="146"/>
      <c r="WI16" s="220" t="s">
        <v>57</v>
      </c>
      <c r="WJ16" s="324">
        <v>10</v>
      </c>
      <c r="WK16" s="200">
        <v>48</v>
      </c>
      <c r="WL16" s="200"/>
      <c r="WM16" s="200"/>
      <c r="WN16" s="200">
        <v>5</v>
      </c>
      <c r="WO16" s="325"/>
      <c r="WP16" s="326"/>
      <c r="WQ16" s="134"/>
      <c r="WR16" s="134"/>
      <c r="WS16" s="131">
        <f t="shared" si="58"/>
        <v>63</v>
      </c>
      <c r="WT16" s="327">
        <v>1</v>
      </c>
      <c r="WU16" s="200">
        <v>11</v>
      </c>
      <c r="WV16" s="200"/>
      <c r="WW16" s="200"/>
      <c r="WX16" s="200">
        <v>12</v>
      </c>
      <c r="WY16" s="325"/>
      <c r="WZ16" s="326"/>
      <c r="XA16" s="134"/>
      <c r="XB16" s="134"/>
      <c r="XC16" s="131">
        <f t="shared" si="131"/>
        <v>24</v>
      </c>
      <c r="XD16" s="327">
        <v>50</v>
      </c>
      <c r="XE16" s="200">
        <v>26</v>
      </c>
      <c r="XF16" s="200"/>
      <c r="XG16" s="200"/>
      <c r="XH16" s="200">
        <v>10</v>
      </c>
      <c r="XI16" s="325"/>
      <c r="XJ16" s="326"/>
      <c r="XK16" s="134"/>
      <c r="XL16" s="134"/>
      <c r="XM16" s="131">
        <f t="shared" si="120"/>
        <v>86</v>
      </c>
      <c r="XN16" s="327">
        <v>21</v>
      </c>
      <c r="XO16" s="200">
        <v>27</v>
      </c>
      <c r="XP16" s="200"/>
      <c r="XQ16" s="200">
        <v>83</v>
      </c>
      <c r="XR16" s="200">
        <v>3</v>
      </c>
      <c r="XS16" s="325"/>
      <c r="XT16" s="326"/>
      <c r="XU16" s="134"/>
      <c r="XV16" s="134"/>
      <c r="XW16" s="131">
        <f t="shared" si="61"/>
        <v>134</v>
      </c>
      <c r="XX16" s="327">
        <v>15</v>
      </c>
      <c r="XY16" s="200">
        <v>20</v>
      </c>
      <c r="XZ16" s="200"/>
      <c r="YA16" s="200">
        <v>84</v>
      </c>
      <c r="YB16" s="200">
        <v>1</v>
      </c>
      <c r="YC16" s="325"/>
      <c r="YD16" s="326"/>
      <c r="YE16" s="134"/>
      <c r="YF16" s="134"/>
      <c r="YG16" s="131">
        <f t="shared" si="62"/>
        <v>120</v>
      </c>
      <c r="YH16" s="221">
        <f t="shared" si="99"/>
        <v>0</v>
      </c>
      <c r="YI16" s="148">
        <f t="shared" si="99"/>
        <v>427</v>
      </c>
      <c r="YJ16" s="222">
        <v>250</v>
      </c>
      <c r="YK16" s="223">
        <f t="shared" si="63"/>
        <v>1.708</v>
      </c>
      <c r="YL16" s="150"/>
      <c r="YM16" s="328">
        <v>71</v>
      </c>
      <c r="YN16" s="200">
        <v>12</v>
      </c>
      <c r="YO16" s="200"/>
      <c r="YP16" s="200"/>
      <c r="YQ16" s="200"/>
      <c r="YR16" s="325"/>
      <c r="YS16" s="326"/>
      <c r="YT16" s="134"/>
      <c r="YU16" s="134"/>
      <c r="YV16" s="131">
        <f t="shared" si="121"/>
        <v>83</v>
      </c>
      <c r="YW16" s="327">
        <v>20</v>
      </c>
      <c r="YX16" s="200">
        <v>28</v>
      </c>
      <c r="YY16" s="200"/>
      <c r="YZ16" s="200">
        <v>2</v>
      </c>
      <c r="ZA16" s="200">
        <v>1</v>
      </c>
      <c r="ZB16" s="325"/>
      <c r="ZC16" s="326"/>
      <c r="ZD16" s="134"/>
      <c r="ZE16" s="134"/>
      <c r="ZF16" s="131">
        <f t="shared" si="132"/>
        <v>51</v>
      </c>
      <c r="ZG16" s="327">
        <v>26</v>
      </c>
      <c r="ZH16" s="200">
        <v>22</v>
      </c>
      <c r="ZI16" s="200"/>
      <c r="ZJ16" s="200"/>
      <c r="ZK16" s="200">
        <v>1</v>
      </c>
      <c r="ZL16" s="325"/>
      <c r="ZM16" s="326"/>
      <c r="ZN16" s="134"/>
      <c r="ZO16" s="134"/>
      <c r="ZP16" s="131">
        <f t="shared" si="122"/>
        <v>49</v>
      </c>
      <c r="ZQ16" s="327">
        <v>12</v>
      </c>
      <c r="ZR16" s="200">
        <v>45</v>
      </c>
      <c r="ZS16" s="200"/>
      <c r="ZT16" s="200"/>
      <c r="ZU16" s="200">
        <v>7</v>
      </c>
      <c r="ZV16" s="325"/>
      <c r="ZW16" s="326"/>
      <c r="ZX16" s="134"/>
      <c r="ZY16" s="134"/>
      <c r="ZZ16" s="131">
        <f t="shared" si="67"/>
        <v>64</v>
      </c>
      <c r="AAA16" s="327"/>
      <c r="AAB16" s="200"/>
      <c r="AAC16" s="200"/>
      <c r="AAD16" s="200"/>
      <c r="AAE16" s="200"/>
      <c r="AAF16" s="325"/>
      <c r="AAG16" s="326"/>
      <c r="AAH16" s="134"/>
      <c r="AAI16" s="134"/>
      <c r="AAJ16" s="131">
        <f t="shared" si="68"/>
        <v>0</v>
      </c>
      <c r="AAK16" s="226">
        <f t="shared" si="69"/>
        <v>247</v>
      </c>
      <c r="AAL16" s="226">
        <v>200</v>
      </c>
      <c r="AAM16" s="227">
        <f t="shared" si="70"/>
        <v>1.2350000000000001</v>
      </c>
      <c r="AAN16" s="329" t="s">
        <v>57</v>
      </c>
      <c r="AAO16" s="324"/>
      <c r="AAP16" s="200"/>
      <c r="AAQ16" s="200"/>
      <c r="AAR16" s="200"/>
      <c r="AAS16" s="200"/>
      <c r="AAT16" s="325"/>
      <c r="AAU16" s="326"/>
      <c r="AAV16" s="134"/>
      <c r="AAW16" s="134"/>
      <c r="AAX16" s="155"/>
      <c r="AAY16" s="131">
        <f t="shared" si="123"/>
        <v>0</v>
      </c>
      <c r="AAZ16" s="327">
        <v>39</v>
      </c>
      <c r="ABA16" s="200">
        <v>37</v>
      </c>
      <c r="ABB16" s="200"/>
      <c r="ABC16" s="200"/>
      <c r="ABD16" s="200">
        <v>4</v>
      </c>
      <c r="ABE16" s="325"/>
      <c r="ABF16" s="326"/>
      <c r="ABG16" s="134"/>
      <c r="ABH16" s="134"/>
      <c r="ABI16" s="131">
        <f t="shared" si="71"/>
        <v>80</v>
      </c>
      <c r="ABJ16" s="327">
        <v>34</v>
      </c>
      <c r="ABK16" s="200">
        <v>13</v>
      </c>
      <c r="ABL16" s="200"/>
      <c r="ABM16" s="200"/>
      <c r="ABN16" s="200">
        <v>5</v>
      </c>
      <c r="ABO16" s="325"/>
      <c r="ABP16" s="326"/>
      <c r="ABQ16" s="134"/>
      <c r="ABR16" s="134"/>
      <c r="ABS16" s="131">
        <f t="shared" si="124"/>
        <v>52</v>
      </c>
      <c r="ABT16" s="327">
        <v>25</v>
      </c>
      <c r="ABU16" s="200">
        <v>30</v>
      </c>
      <c r="ABV16" s="200"/>
      <c r="ABW16" s="200"/>
      <c r="ABX16" s="200">
        <v>3</v>
      </c>
      <c r="ABY16" s="325"/>
      <c r="ABZ16" s="326"/>
      <c r="ACA16" s="134"/>
      <c r="ACB16" s="134"/>
      <c r="ACC16" s="131">
        <f t="shared" si="73"/>
        <v>58</v>
      </c>
      <c r="ACD16" s="327">
        <v>25</v>
      </c>
      <c r="ACE16" s="200">
        <v>26</v>
      </c>
      <c r="ACF16" s="200"/>
      <c r="ACG16" s="200"/>
      <c r="ACH16" s="200">
        <v>12</v>
      </c>
      <c r="ACI16" s="325"/>
      <c r="ACJ16" s="326"/>
      <c r="ACK16" s="134"/>
      <c r="ACL16" s="134"/>
      <c r="ACM16" s="131">
        <f t="shared" si="74"/>
        <v>63</v>
      </c>
      <c r="ACN16" s="156">
        <f t="shared" si="75"/>
        <v>0</v>
      </c>
      <c r="ACO16" s="157"/>
      <c r="ACP16" s="229">
        <f t="shared" si="100"/>
        <v>253</v>
      </c>
      <c r="ACQ16" s="229">
        <v>200</v>
      </c>
      <c r="ACR16" s="230">
        <f t="shared" si="101"/>
        <v>1.2649999999999999</v>
      </c>
      <c r="ACS16" s="231">
        <f t="shared" si="76"/>
        <v>1562</v>
      </c>
      <c r="ACT16" s="207">
        <f t="shared" si="76"/>
        <v>1150</v>
      </c>
      <c r="ACU16" s="208">
        <f t="shared" si="102"/>
        <v>1.3582608695652174</v>
      </c>
      <c r="ACW16" s="163">
        <f t="shared" si="103"/>
        <v>1.3992448512585813</v>
      </c>
      <c r="ACX16" s="5">
        <v>1</v>
      </c>
    </row>
    <row r="17" spans="1:778" s="102" customFormat="1" x14ac:dyDescent="0.35">
      <c r="A17" s="51" t="s">
        <v>46</v>
      </c>
      <c r="B17" s="165" t="s">
        <v>91</v>
      </c>
      <c r="C17" s="384"/>
      <c r="D17" s="339"/>
      <c r="E17" s="385">
        <v>83</v>
      </c>
      <c r="F17" s="339"/>
      <c r="G17" s="339"/>
      <c r="H17" s="340"/>
      <c r="I17" s="310"/>
      <c r="J17" s="57"/>
      <c r="K17" s="58">
        <f t="shared" si="0"/>
        <v>83</v>
      </c>
      <c r="L17" s="338"/>
      <c r="M17" s="339"/>
      <c r="N17" s="385">
        <f>29+39</f>
        <v>68</v>
      </c>
      <c r="O17" s="339"/>
      <c r="P17" s="339"/>
      <c r="Q17" s="340"/>
      <c r="R17" s="310"/>
      <c r="S17" s="57"/>
      <c r="T17" s="58">
        <f t="shared" si="1"/>
        <v>68</v>
      </c>
      <c r="U17" s="314"/>
      <c r="V17" s="315"/>
      <c r="W17" s="315"/>
      <c r="X17" s="315"/>
      <c r="Y17" s="315"/>
      <c r="Z17" s="316"/>
      <c r="AA17" s="317"/>
      <c r="AB17" s="66"/>
      <c r="AC17" s="67">
        <f t="shared" si="2"/>
        <v>0</v>
      </c>
      <c r="AD17" s="338"/>
      <c r="AE17" s="339"/>
      <c r="AF17" s="6">
        <f>30+38+8</f>
        <v>76</v>
      </c>
      <c r="AG17" s="339"/>
      <c r="AH17" s="386"/>
      <c r="AI17" s="340"/>
      <c r="AJ17" s="310"/>
      <c r="AK17" s="57"/>
      <c r="AL17" s="88">
        <f t="shared" si="3"/>
        <v>76</v>
      </c>
      <c r="AM17" s="319"/>
      <c r="AN17" s="308"/>
      <c r="AO17" s="6">
        <f>27+38+26</f>
        <v>91</v>
      </c>
      <c r="AP17" s="308"/>
      <c r="AQ17" s="308"/>
      <c r="AR17" s="377"/>
      <c r="AS17" s="310"/>
      <c r="AT17" s="57"/>
      <c r="AU17" s="58">
        <f t="shared" si="4"/>
        <v>91</v>
      </c>
      <c r="AV17" s="81">
        <v>316</v>
      </c>
      <c r="AW17" s="82">
        <f t="shared" si="77"/>
        <v>318</v>
      </c>
      <c r="AX17" s="82">
        <v>200</v>
      </c>
      <c r="AY17" s="172">
        <f t="shared" si="5"/>
        <v>1.59</v>
      </c>
      <c r="AZ17" s="84"/>
      <c r="BA17" s="384"/>
      <c r="BB17" s="339"/>
      <c r="BC17" s="385"/>
      <c r="BD17" s="339"/>
      <c r="BE17" s="339">
        <f>27+32</f>
        <v>59</v>
      </c>
      <c r="BF17" s="340"/>
      <c r="BG17" s="310"/>
      <c r="BH17" s="57"/>
      <c r="BI17" s="86">
        <f t="shared" si="6"/>
        <v>59</v>
      </c>
      <c r="BJ17" s="387"/>
      <c r="BK17" s="339"/>
      <c r="BL17" s="385">
        <f>29+39+14</f>
        <v>82</v>
      </c>
      <c r="BM17" s="339"/>
      <c r="BN17" s="339"/>
      <c r="BO17" s="340"/>
      <c r="BP17" s="310"/>
      <c r="BQ17" s="57"/>
      <c r="BR17" s="58">
        <f t="shared" si="7"/>
        <v>82</v>
      </c>
      <c r="BS17" s="311"/>
      <c r="BT17" s="312"/>
      <c r="BU17" s="312">
        <f>8+19+6</f>
        <v>33</v>
      </c>
      <c r="BV17" s="312"/>
      <c r="BW17" s="312"/>
      <c r="BX17" s="313"/>
      <c r="BY17" s="310"/>
      <c r="BZ17" s="57"/>
      <c r="CA17" s="58">
        <f t="shared" si="105"/>
        <v>33</v>
      </c>
      <c r="CB17" s="338"/>
      <c r="CC17" s="339"/>
      <c r="CD17" s="6">
        <f>28+24</f>
        <v>52</v>
      </c>
      <c r="CE17" s="339"/>
      <c r="CF17" s="386"/>
      <c r="CG17" s="340"/>
      <c r="CH17" s="310"/>
      <c r="CI17" s="57"/>
      <c r="CJ17" s="88">
        <f t="shared" si="106"/>
        <v>52</v>
      </c>
      <c r="CK17" s="319"/>
      <c r="CL17" s="308"/>
      <c r="CM17" s="6">
        <v>43</v>
      </c>
      <c r="CN17" s="308"/>
      <c r="CO17" s="308"/>
      <c r="CP17" s="377"/>
      <c r="CQ17" s="310"/>
      <c r="CR17" s="57"/>
      <c r="CS17" s="91">
        <f t="shared" si="78"/>
        <v>43</v>
      </c>
      <c r="CT17" s="92">
        <v>263</v>
      </c>
      <c r="CU17" s="93">
        <f t="shared" si="79"/>
        <v>269</v>
      </c>
      <c r="CV17" s="93">
        <v>250</v>
      </c>
      <c r="CW17" s="175">
        <f t="shared" si="8"/>
        <v>1.0760000000000001</v>
      </c>
      <c r="CX17" s="95"/>
      <c r="CY17" s="384"/>
      <c r="CZ17" s="339"/>
      <c r="DA17" s="385">
        <v>32</v>
      </c>
      <c r="DB17" s="339"/>
      <c r="DC17" s="339"/>
      <c r="DD17" s="340"/>
      <c r="DE17" s="310"/>
      <c r="DF17" s="57"/>
      <c r="DG17" s="58">
        <f t="shared" si="9"/>
        <v>32</v>
      </c>
      <c r="DH17" s="338"/>
      <c r="DI17" s="339"/>
      <c r="DJ17" s="385">
        <v>55</v>
      </c>
      <c r="DK17" s="339"/>
      <c r="DL17" s="339"/>
      <c r="DM17" s="340"/>
      <c r="DN17" s="310"/>
      <c r="DO17" s="57"/>
      <c r="DP17" s="58">
        <f t="shared" si="10"/>
        <v>55</v>
      </c>
      <c r="DQ17" s="311"/>
      <c r="DR17" s="312"/>
      <c r="DS17" s="312">
        <v>67</v>
      </c>
      <c r="DT17" s="312"/>
      <c r="DU17" s="312"/>
      <c r="DV17" s="313"/>
      <c r="DW17" s="310"/>
      <c r="DX17" s="57"/>
      <c r="DY17" s="58">
        <f t="shared" si="80"/>
        <v>67</v>
      </c>
      <c r="DZ17" s="338"/>
      <c r="EA17" s="339"/>
      <c r="EB17" s="6">
        <f>21+14+19</f>
        <v>54</v>
      </c>
      <c r="EC17" s="339"/>
      <c r="ED17" s="386"/>
      <c r="EE17" s="340"/>
      <c r="EF17" s="310"/>
      <c r="EG17" s="57"/>
      <c r="EH17" s="96">
        <f t="shared" si="81"/>
        <v>54</v>
      </c>
      <c r="EI17" s="379"/>
      <c r="EJ17" s="308"/>
      <c r="EK17" s="6">
        <v>82</v>
      </c>
      <c r="EL17" s="308"/>
      <c r="EM17" s="308"/>
      <c r="EN17" s="377"/>
      <c r="EO17" s="310"/>
      <c r="EP17" s="57"/>
      <c r="EQ17" s="98">
        <f t="shared" si="82"/>
        <v>82</v>
      </c>
      <c r="ER17" s="99">
        <v>296</v>
      </c>
      <c r="ES17" s="100">
        <f t="shared" si="111"/>
        <v>290</v>
      </c>
      <c r="ET17" s="346">
        <v>250</v>
      </c>
      <c r="EU17" s="177">
        <f t="shared" si="11"/>
        <v>1.1599999999999999</v>
      </c>
      <c r="EW17" s="384"/>
      <c r="EX17" s="339"/>
      <c r="EY17" s="385">
        <v>38</v>
      </c>
      <c r="EZ17" s="339"/>
      <c r="FA17" s="339"/>
      <c r="FB17" s="340"/>
      <c r="FC17" s="310"/>
      <c r="FD17" s="57"/>
      <c r="FE17" s="58">
        <f t="shared" si="12"/>
        <v>38</v>
      </c>
      <c r="FF17" s="338"/>
      <c r="FG17" s="339"/>
      <c r="FH17" s="385">
        <v>84</v>
      </c>
      <c r="FI17" s="339"/>
      <c r="FJ17" s="339"/>
      <c r="FK17" s="340"/>
      <c r="FL17" s="310"/>
      <c r="FM17" s="57"/>
      <c r="FN17" s="58">
        <f t="shared" si="13"/>
        <v>84</v>
      </c>
      <c r="FO17" s="311"/>
      <c r="FP17" s="312"/>
      <c r="FQ17" s="312">
        <v>22</v>
      </c>
      <c r="FR17" s="312"/>
      <c r="FS17" s="312"/>
      <c r="FT17" s="313"/>
      <c r="FU17" s="310"/>
      <c r="FV17" s="57"/>
      <c r="FW17" s="58">
        <f t="shared" si="83"/>
        <v>22</v>
      </c>
      <c r="FX17" s="338"/>
      <c r="FY17" s="339"/>
      <c r="FZ17" s="6">
        <v>51</v>
      </c>
      <c r="GA17" s="339"/>
      <c r="GB17" s="386"/>
      <c r="GC17" s="340"/>
      <c r="GD17" s="310"/>
      <c r="GE17" s="57"/>
      <c r="GF17" s="58">
        <f t="shared" si="84"/>
        <v>51</v>
      </c>
      <c r="GG17" s="319"/>
      <c r="GH17" s="308"/>
      <c r="GI17" s="6">
        <f>31+37+12</f>
        <v>80</v>
      </c>
      <c r="GJ17" s="308"/>
      <c r="GK17" s="308"/>
      <c r="GL17" s="377"/>
      <c r="GM17" s="310"/>
      <c r="GN17" s="57"/>
      <c r="GO17" s="58">
        <f t="shared" si="85"/>
        <v>80</v>
      </c>
      <c r="GP17" s="103">
        <v>346</v>
      </c>
      <c r="GQ17" s="104">
        <f t="shared" si="86"/>
        <v>275</v>
      </c>
      <c r="GR17" s="104">
        <v>250</v>
      </c>
      <c r="GS17" s="178">
        <f t="shared" si="14"/>
        <v>1.1000000000000001</v>
      </c>
      <c r="GT17" s="384"/>
      <c r="GU17" s="339"/>
      <c r="GV17" s="385"/>
      <c r="GW17" s="339"/>
      <c r="GX17" s="339"/>
      <c r="GY17" s="340"/>
      <c r="GZ17" s="310"/>
      <c r="HA17" s="57"/>
      <c r="HB17" s="57"/>
      <c r="HC17" s="58">
        <f t="shared" si="15"/>
        <v>0</v>
      </c>
      <c r="HD17" s="338"/>
      <c r="HE17" s="339"/>
      <c r="HF17" s="385"/>
      <c r="HG17" s="339"/>
      <c r="HH17" s="339"/>
      <c r="HI17" s="340"/>
      <c r="HJ17" s="310"/>
      <c r="HK17" s="57"/>
      <c r="HL17" s="57"/>
      <c r="HM17" s="58">
        <f t="shared" si="16"/>
        <v>0</v>
      </c>
      <c r="HN17" s="311"/>
      <c r="HO17" s="312"/>
      <c r="HP17" s="312"/>
      <c r="HQ17" s="312"/>
      <c r="HR17" s="312"/>
      <c r="HS17" s="313"/>
      <c r="HT17" s="310"/>
      <c r="HU17" s="57"/>
      <c r="HV17" s="57"/>
      <c r="HW17" s="58">
        <f t="shared" si="17"/>
        <v>0</v>
      </c>
      <c r="HX17" s="338"/>
      <c r="HY17" s="339"/>
      <c r="HZ17" s="6"/>
      <c r="IA17" s="339"/>
      <c r="IB17" s="386"/>
      <c r="IC17" s="340"/>
      <c r="ID17" s="310"/>
      <c r="IE17" s="57"/>
      <c r="IF17" s="57"/>
      <c r="IG17" s="88">
        <f t="shared" si="18"/>
        <v>0</v>
      </c>
      <c r="IH17" s="319"/>
      <c r="II17" s="308"/>
      <c r="IJ17" s="6"/>
      <c r="IK17" s="308"/>
      <c r="IL17" s="308"/>
      <c r="IM17" s="377"/>
      <c r="IN17" s="310"/>
      <c r="IO17" s="57"/>
      <c r="IP17" s="57"/>
      <c r="IQ17" s="58">
        <f t="shared" si="19"/>
        <v>0</v>
      </c>
      <c r="IR17" s="106"/>
      <c r="IS17" s="107"/>
      <c r="IT17" s="107"/>
      <c r="IU17" s="179"/>
      <c r="IV17" s="95"/>
      <c r="IW17" s="109">
        <f t="shared" si="87"/>
        <v>1221</v>
      </c>
      <c r="IX17" s="110">
        <f t="shared" si="87"/>
        <v>1152</v>
      </c>
      <c r="IY17" s="110">
        <f t="shared" si="87"/>
        <v>950</v>
      </c>
      <c r="IZ17" s="347">
        <f t="shared" si="20"/>
        <v>1.2126315789473685</v>
      </c>
      <c r="JB17" s="388" t="s">
        <v>58</v>
      </c>
      <c r="JC17" s="387"/>
      <c r="JD17" s="339"/>
      <c r="JE17" s="385">
        <v>74</v>
      </c>
      <c r="JF17" s="339"/>
      <c r="JG17" s="339">
        <v>2</v>
      </c>
      <c r="JH17" s="340"/>
      <c r="JI17" s="310"/>
      <c r="JJ17" s="57"/>
      <c r="JK17" s="57"/>
      <c r="JL17" s="58">
        <f t="shared" si="112"/>
        <v>76</v>
      </c>
      <c r="JM17" s="338"/>
      <c r="JN17" s="339"/>
      <c r="JO17" s="385">
        <v>74</v>
      </c>
      <c r="JP17" s="339"/>
      <c r="JQ17" s="339"/>
      <c r="JR17" s="340"/>
      <c r="JS17" s="310"/>
      <c r="JT17" s="57">
        <v>6</v>
      </c>
      <c r="JU17" s="57"/>
      <c r="JV17" s="58">
        <f t="shared" si="125"/>
        <v>74</v>
      </c>
      <c r="JW17" s="311"/>
      <c r="JX17" s="312"/>
      <c r="JY17" s="312">
        <v>70</v>
      </c>
      <c r="JZ17" s="312"/>
      <c r="KA17" s="312"/>
      <c r="KB17" s="313"/>
      <c r="KC17" s="310"/>
      <c r="KD17" s="57">
        <v>1</v>
      </c>
      <c r="KE17" s="57"/>
      <c r="KF17" s="58">
        <f t="shared" si="23"/>
        <v>70</v>
      </c>
      <c r="KG17" s="338"/>
      <c r="KH17" s="339"/>
      <c r="KI17" s="6">
        <v>87</v>
      </c>
      <c r="KJ17" s="339"/>
      <c r="KK17" s="386"/>
      <c r="KL17" s="340"/>
      <c r="KM17" s="310"/>
      <c r="KN17" s="57"/>
      <c r="KO17" s="57"/>
      <c r="KP17" s="88">
        <f t="shared" si="24"/>
        <v>87</v>
      </c>
      <c r="KQ17" s="311"/>
      <c r="KR17" s="312"/>
      <c r="KS17" s="389">
        <v>63</v>
      </c>
      <c r="KT17" s="312"/>
      <c r="KU17" s="312"/>
      <c r="KV17" s="390"/>
      <c r="KW17" s="56"/>
      <c r="KX17" s="57">
        <v>391</v>
      </c>
      <c r="KY17" s="57"/>
      <c r="KZ17" s="58">
        <f t="shared" si="25"/>
        <v>63</v>
      </c>
      <c r="LA17" s="81">
        <f t="shared" si="107"/>
        <v>391</v>
      </c>
      <c r="LB17" s="82">
        <f t="shared" si="26"/>
        <v>370</v>
      </c>
      <c r="LC17" s="348">
        <v>250</v>
      </c>
      <c r="LD17" s="82">
        <f t="shared" si="88"/>
        <v>120</v>
      </c>
      <c r="LE17" s="192">
        <f t="shared" si="89"/>
        <v>1.48</v>
      </c>
      <c r="LF17" s="115"/>
      <c r="LG17" s="383" t="s">
        <v>58</v>
      </c>
      <c r="LH17" s="387"/>
      <c r="LI17" s="339"/>
      <c r="LJ17" s="385">
        <v>22</v>
      </c>
      <c r="LK17" s="339"/>
      <c r="LL17" s="339"/>
      <c r="LM17" s="340"/>
      <c r="LN17" s="310"/>
      <c r="LO17" s="57"/>
      <c r="LP17" s="57"/>
      <c r="LQ17" s="58">
        <f t="shared" si="113"/>
        <v>22</v>
      </c>
      <c r="LR17" s="338"/>
      <c r="LS17" s="339"/>
      <c r="LT17" s="385">
        <v>41</v>
      </c>
      <c r="LU17" s="339"/>
      <c r="LV17" s="339"/>
      <c r="LW17" s="340"/>
      <c r="LX17" s="310"/>
      <c r="LY17" s="57"/>
      <c r="LZ17" s="57"/>
      <c r="MA17" s="58">
        <f t="shared" si="126"/>
        <v>41</v>
      </c>
      <c r="MB17" s="391"/>
      <c r="MC17" s="392"/>
      <c r="MD17" s="392"/>
      <c r="ME17" s="392"/>
      <c r="MF17" s="392"/>
      <c r="MG17" s="393"/>
      <c r="MH17" s="394"/>
      <c r="MI17" s="395"/>
      <c r="MJ17" s="395"/>
      <c r="MK17" s="396">
        <f t="shared" si="29"/>
        <v>0</v>
      </c>
      <c r="ML17" s="391"/>
      <c r="MM17" s="392"/>
      <c r="MN17" s="397"/>
      <c r="MO17" s="392"/>
      <c r="MP17" s="398"/>
      <c r="MQ17" s="393"/>
      <c r="MR17" s="394"/>
      <c r="MS17" s="395"/>
      <c r="MT17" s="395"/>
      <c r="MU17" s="399">
        <f t="shared" si="30"/>
        <v>0</v>
      </c>
      <c r="MV17" s="391"/>
      <c r="MW17" s="392"/>
      <c r="MX17" s="397"/>
      <c r="MY17" s="392"/>
      <c r="MZ17" s="392"/>
      <c r="NA17" s="400"/>
      <c r="NB17" s="394"/>
      <c r="NC17" s="395">
        <v>88</v>
      </c>
      <c r="ND17" s="395"/>
      <c r="NE17" s="396">
        <f t="shared" si="31"/>
        <v>0</v>
      </c>
      <c r="NF17" s="117">
        <f t="shared" si="90"/>
        <v>88</v>
      </c>
      <c r="NG17" s="93">
        <f t="shared" si="32"/>
        <v>63</v>
      </c>
      <c r="NH17" s="349">
        <v>100</v>
      </c>
      <c r="NI17" s="93">
        <f t="shared" si="91"/>
        <v>-37</v>
      </c>
      <c r="NJ17" s="196">
        <f t="shared" si="108"/>
        <v>0.63</v>
      </c>
      <c r="NK17" s="119"/>
      <c r="NL17" s="383" t="s">
        <v>58</v>
      </c>
      <c r="NM17" s="387"/>
      <c r="NN17" s="339"/>
      <c r="NO17" s="385">
        <f>29+17</f>
        <v>46</v>
      </c>
      <c r="NP17" s="339"/>
      <c r="NQ17" s="339"/>
      <c r="NR17" s="340"/>
      <c r="NS17" s="310"/>
      <c r="NT17" s="57"/>
      <c r="NU17" s="57"/>
      <c r="NV17" s="58">
        <f t="shared" si="114"/>
        <v>46</v>
      </c>
      <c r="NW17" s="338"/>
      <c r="NX17" s="339"/>
      <c r="NY17" s="385">
        <v>69</v>
      </c>
      <c r="NZ17" s="339"/>
      <c r="OA17" s="339"/>
      <c r="OB17" s="340"/>
      <c r="OC17" s="310"/>
      <c r="OD17" s="57"/>
      <c r="OE17" s="57"/>
      <c r="OF17" s="58">
        <f t="shared" si="127"/>
        <v>69</v>
      </c>
      <c r="OG17" s="311"/>
      <c r="OH17" s="312"/>
      <c r="OI17" s="312">
        <v>53</v>
      </c>
      <c r="OJ17" s="312"/>
      <c r="OK17" s="312"/>
      <c r="OL17" s="313"/>
      <c r="OM17" s="310"/>
      <c r="ON17" s="57"/>
      <c r="OO17" s="57"/>
      <c r="OP17" s="58">
        <f t="shared" si="35"/>
        <v>53</v>
      </c>
      <c r="OQ17" s="338"/>
      <c r="OR17" s="339"/>
      <c r="OS17" s="6">
        <v>70</v>
      </c>
      <c r="OT17" s="339"/>
      <c r="OU17" s="386"/>
      <c r="OV17" s="340"/>
      <c r="OW17" s="310"/>
      <c r="OX17" s="57"/>
      <c r="OY17" s="57"/>
      <c r="OZ17" s="88">
        <f t="shared" si="36"/>
        <v>70</v>
      </c>
      <c r="PA17" s="319"/>
      <c r="PB17" s="308"/>
      <c r="PC17" s="6">
        <v>35</v>
      </c>
      <c r="PD17" s="308"/>
      <c r="PE17" s="308"/>
      <c r="PF17" s="377"/>
      <c r="PG17" s="310"/>
      <c r="PH17" s="57"/>
      <c r="PI17" s="57"/>
      <c r="PJ17" s="58">
        <f t="shared" si="37"/>
        <v>35</v>
      </c>
      <c r="PK17" s="99">
        <f t="shared" si="38"/>
        <v>0</v>
      </c>
      <c r="PL17" s="100">
        <f t="shared" si="39"/>
        <v>273</v>
      </c>
      <c r="PM17" s="346">
        <v>250</v>
      </c>
      <c r="PN17" s="100">
        <f t="shared" si="92"/>
        <v>23</v>
      </c>
      <c r="PO17" s="198">
        <f t="shared" si="109"/>
        <v>1.0920000000000001</v>
      </c>
      <c r="PP17" s="119"/>
      <c r="PQ17" s="383" t="s">
        <v>58</v>
      </c>
      <c r="PR17" s="401"/>
      <c r="PS17" s="312"/>
      <c r="PT17" s="402">
        <v>54</v>
      </c>
      <c r="PU17" s="312"/>
      <c r="PV17" s="312"/>
      <c r="PW17" s="313"/>
      <c r="PX17" s="310"/>
      <c r="PY17" s="57"/>
      <c r="PZ17" s="57"/>
      <c r="QA17" s="58">
        <f t="shared" si="115"/>
        <v>54</v>
      </c>
      <c r="QB17" s="338"/>
      <c r="QC17" s="339"/>
      <c r="QD17" s="385">
        <v>54</v>
      </c>
      <c r="QE17" s="339"/>
      <c r="QF17" s="339"/>
      <c r="QG17" s="340"/>
      <c r="QH17" s="310"/>
      <c r="QI17" s="57"/>
      <c r="QJ17" s="57"/>
      <c r="QK17" s="58">
        <f t="shared" si="128"/>
        <v>54</v>
      </c>
      <c r="QL17" s="311"/>
      <c r="QM17" s="312"/>
      <c r="QN17" s="312">
        <v>60</v>
      </c>
      <c r="QO17" s="312"/>
      <c r="QP17" s="312"/>
      <c r="QQ17" s="313"/>
      <c r="QR17" s="310"/>
      <c r="QS17" s="57"/>
      <c r="QT17" s="57"/>
      <c r="QU17" s="58">
        <f t="shared" si="42"/>
        <v>60</v>
      </c>
      <c r="QV17" s="338"/>
      <c r="QW17" s="339"/>
      <c r="QX17" s="6">
        <v>70</v>
      </c>
      <c r="QY17" s="339"/>
      <c r="QZ17" s="386"/>
      <c r="RA17" s="340"/>
      <c r="RB17" s="310"/>
      <c r="RC17" s="57"/>
      <c r="RD17" s="57"/>
      <c r="RE17" s="88">
        <f t="shared" si="43"/>
        <v>70</v>
      </c>
      <c r="RF17" s="319"/>
      <c r="RG17" s="308"/>
      <c r="RH17" s="6">
        <v>80</v>
      </c>
      <c r="RI17" s="308"/>
      <c r="RJ17" s="308"/>
      <c r="RK17" s="377"/>
      <c r="RL17" s="310"/>
      <c r="RM17" s="57">
        <v>312</v>
      </c>
      <c r="RN17" s="57"/>
      <c r="RO17" s="58">
        <f t="shared" si="44"/>
        <v>80</v>
      </c>
      <c r="RP17" s="121">
        <f t="shared" si="93"/>
        <v>312</v>
      </c>
      <c r="RQ17" s="104">
        <f t="shared" si="45"/>
        <v>318</v>
      </c>
      <c r="RR17" s="350">
        <v>250</v>
      </c>
      <c r="RS17" s="104">
        <f t="shared" si="94"/>
        <v>68</v>
      </c>
      <c r="RT17" s="205">
        <f t="shared" si="110"/>
        <v>1.272</v>
      </c>
      <c r="RV17" s="123">
        <f t="shared" si="95"/>
        <v>791</v>
      </c>
      <c r="RW17" s="124">
        <f t="shared" si="95"/>
        <v>1024</v>
      </c>
      <c r="RX17" s="124">
        <f t="shared" si="95"/>
        <v>850</v>
      </c>
      <c r="RY17" s="125">
        <f t="shared" si="96"/>
        <v>1.2047058823529411</v>
      </c>
      <c r="SA17" s="165" t="s">
        <v>58</v>
      </c>
      <c r="SB17" s="324"/>
      <c r="SC17" s="200"/>
      <c r="SD17" s="385"/>
      <c r="SE17" s="200"/>
      <c r="SF17" s="200"/>
      <c r="SG17" s="325"/>
      <c r="SH17" s="326"/>
      <c r="SI17" s="134"/>
      <c r="SJ17" s="134"/>
      <c r="SK17" s="131">
        <f t="shared" si="116"/>
        <v>0</v>
      </c>
      <c r="SL17" s="327"/>
      <c r="SM17" s="200">
        <v>0</v>
      </c>
      <c r="SN17" s="403"/>
      <c r="SO17" s="200"/>
      <c r="SP17" s="200"/>
      <c r="SQ17" s="325"/>
      <c r="SR17" s="326"/>
      <c r="SS17" s="134"/>
      <c r="ST17" s="134"/>
      <c r="SU17" s="131">
        <f t="shared" si="129"/>
        <v>0</v>
      </c>
      <c r="SV17" s="327"/>
      <c r="SW17" s="200"/>
      <c r="SX17" s="200">
        <v>56</v>
      </c>
      <c r="SY17" s="200"/>
      <c r="SZ17" s="200"/>
      <c r="TA17" s="325"/>
      <c r="TB17" s="326"/>
      <c r="TC17" s="134"/>
      <c r="TD17" s="134"/>
      <c r="TE17" s="131">
        <f t="shared" si="117"/>
        <v>56</v>
      </c>
      <c r="TF17" s="327"/>
      <c r="TG17" s="200"/>
      <c r="TH17" s="404"/>
      <c r="TI17" s="200"/>
      <c r="TJ17" s="140"/>
      <c r="TK17" s="325"/>
      <c r="TL17" s="326"/>
      <c r="TM17" s="134"/>
      <c r="TN17" s="134"/>
      <c r="TO17" s="131">
        <f t="shared" si="49"/>
        <v>0</v>
      </c>
      <c r="TP17" s="327"/>
      <c r="TQ17" s="200"/>
      <c r="TR17" s="404">
        <v>28</v>
      </c>
      <c r="TS17" s="200"/>
      <c r="TT17" s="200"/>
      <c r="TU17" s="325"/>
      <c r="TV17" s="326">
        <v>0</v>
      </c>
      <c r="TW17" s="134">
        <v>0</v>
      </c>
      <c r="TX17" s="134">
        <v>0</v>
      </c>
      <c r="TY17" s="136">
        <f t="shared" si="50"/>
        <v>28</v>
      </c>
      <c r="TZ17" s="209">
        <f t="shared" si="97"/>
        <v>0</v>
      </c>
      <c r="UA17" s="210">
        <f t="shared" si="97"/>
        <v>84</v>
      </c>
      <c r="UB17" s="210">
        <f>250-50-50</f>
        <v>150</v>
      </c>
      <c r="UC17" s="211">
        <f t="shared" si="51"/>
        <v>0.56000000000000005</v>
      </c>
      <c r="UD17" s="140"/>
      <c r="UE17" s="220" t="s">
        <v>58</v>
      </c>
      <c r="UF17" s="324"/>
      <c r="UG17" s="200"/>
      <c r="UH17" s="200">
        <v>28</v>
      </c>
      <c r="UI17" s="200"/>
      <c r="UJ17" s="200"/>
      <c r="UK17" s="325"/>
      <c r="UL17" s="326"/>
      <c r="UM17" s="134"/>
      <c r="UN17" s="134"/>
      <c r="UO17" s="131">
        <f t="shared" si="118"/>
        <v>28</v>
      </c>
      <c r="UP17" s="327"/>
      <c r="UQ17" s="200"/>
      <c r="UR17" s="200">
        <v>61</v>
      </c>
      <c r="US17" s="200"/>
      <c r="UT17" s="200"/>
      <c r="UU17" s="325"/>
      <c r="UV17" s="326"/>
      <c r="UW17" s="134"/>
      <c r="UX17" s="134"/>
      <c r="UY17" s="131">
        <f t="shared" si="130"/>
        <v>61</v>
      </c>
      <c r="UZ17" s="327"/>
      <c r="VA17" s="200"/>
      <c r="VB17" s="200">
        <v>67</v>
      </c>
      <c r="VC17" s="200"/>
      <c r="VD17" s="200"/>
      <c r="VE17" s="325"/>
      <c r="VF17" s="326"/>
      <c r="VG17" s="134"/>
      <c r="VH17" s="134"/>
      <c r="VI17" s="131">
        <f t="shared" si="119"/>
        <v>67</v>
      </c>
      <c r="VJ17" s="327"/>
      <c r="VK17" s="200"/>
      <c r="VL17" s="404">
        <v>51</v>
      </c>
      <c r="VM17" s="200"/>
      <c r="VN17" s="140"/>
      <c r="VO17" s="325"/>
      <c r="VP17" s="326"/>
      <c r="VQ17" s="134"/>
      <c r="VR17" s="134"/>
      <c r="VS17" s="131">
        <f t="shared" si="55"/>
        <v>51</v>
      </c>
      <c r="VT17" s="327"/>
      <c r="VU17" s="200"/>
      <c r="VV17" s="404">
        <v>40</v>
      </c>
      <c r="VW17" s="200"/>
      <c r="VX17" s="200"/>
      <c r="VY17" s="325"/>
      <c r="VZ17" s="326">
        <v>0</v>
      </c>
      <c r="WA17" s="134">
        <v>0</v>
      </c>
      <c r="WB17" s="134">
        <v>0</v>
      </c>
      <c r="WC17" s="131">
        <f t="shared" si="56"/>
        <v>40</v>
      </c>
      <c r="WD17" s="216">
        <f t="shared" si="98"/>
        <v>0</v>
      </c>
      <c r="WE17" s="217">
        <f t="shared" si="98"/>
        <v>247</v>
      </c>
      <c r="WF17" s="217">
        <v>250</v>
      </c>
      <c r="WG17" s="218">
        <f t="shared" si="57"/>
        <v>0.98799999999999999</v>
      </c>
      <c r="WH17" s="146"/>
      <c r="WI17" s="220" t="s">
        <v>58</v>
      </c>
      <c r="WJ17" s="324"/>
      <c r="WK17" s="200"/>
      <c r="WL17" s="200"/>
      <c r="WM17" s="200">
        <v>8</v>
      </c>
      <c r="WN17" s="200">
        <v>23</v>
      </c>
      <c r="WO17" s="325"/>
      <c r="WP17" s="326"/>
      <c r="WQ17" s="134"/>
      <c r="WR17" s="134"/>
      <c r="WS17" s="131">
        <f t="shared" si="58"/>
        <v>31</v>
      </c>
      <c r="WT17" s="327"/>
      <c r="WU17" s="200"/>
      <c r="WV17" s="200">
        <v>61</v>
      </c>
      <c r="WW17" s="200"/>
      <c r="WX17" s="200"/>
      <c r="WY17" s="325"/>
      <c r="WZ17" s="326"/>
      <c r="XA17" s="134"/>
      <c r="XB17" s="134"/>
      <c r="XC17" s="131">
        <f t="shared" si="131"/>
        <v>61</v>
      </c>
      <c r="XD17" s="327"/>
      <c r="XE17" s="200"/>
      <c r="XF17" s="200">
        <v>5</v>
      </c>
      <c r="XG17" s="200">
        <v>68</v>
      </c>
      <c r="XH17" s="200"/>
      <c r="XI17" s="325"/>
      <c r="XJ17" s="326"/>
      <c r="XK17" s="134"/>
      <c r="XL17" s="134"/>
      <c r="XM17" s="131">
        <f t="shared" si="120"/>
        <v>73</v>
      </c>
      <c r="XN17" s="327"/>
      <c r="XO17" s="200"/>
      <c r="XP17" s="404">
        <v>69</v>
      </c>
      <c r="XQ17" s="200"/>
      <c r="XR17" s="140"/>
      <c r="XS17" s="325"/>
      <c r="XT17" s="326"/>
      <c r="XU17" s="134"/>
      <c r="XV17" s="134"/>
      <c r="XW17" s="131">
        <f t="shared" si="61"/>
        <v>69</v>
      </c>
      <c r="XX17" s="327"/>
      <c r="XY17" s="200"/>
      <c r="XZ17" s="404">
        <v>64</v>
      </c>
      <c r="YA17" s="200"/>
      <c r="YB17" s="200"/>
      <c r="YC17" s="325"/>
      <c r="YD17" s="326"/>
      <c r="YE17" s="134"/>
      <c r="YF17" s="134"/>
      <c r="YG17" s="131">
        <f t="shared" si="62"/>
        <v>64</v>
      </c>
      <c r="YH17" s="221">
        <f t="shared" si="99"/>
        <v>0</v>
      </c>
      <c r="YI17" s="148">
        <f t="shared" si="99"/>
        <v>298</v>
      </c>
      <c r="YJ17" s="222">
        <v>250</v>
      </c>
      <c r="YK17" s="223">
        <f t="shared" si="63"/>
        <v>1.1919999999999999</v>
      </c>
      <c r="YL17" s="150"/>
      <c r="YM17" s="328"/>
      <c r="YN17" s="200"/>
      <c r="YO17" s="200">
        <v>39</v>
      </c>
      <c r="YP17" s="200"/>
      <c r="YQ17" s="200"/>
      <c r="YR17" s="325"/>
      <c r="YS17" s="326"/>
      <c r="YT17" s="134"/>
      <c r="YU17" s="134"/>
      <c r="YV17" s="131">
        <f t="shared" si="121"/>
        <v>39</v>
      </c>
      <c r="YW17" s="327"/>
      <c r="YX17" s="200"/>
      <c r="YY17" s="200">
        <v>43</v>
      </c>
      <c r="YZ17" s="200"/>
      <c r="ZA17" s="200"/>
      <c r="ZB17" s="325"/>
      <c r="ZC17" s="326"/>
      <c r="ZD17" s="134"/>
      <c r="ZE17" s="134"/>
      <c r="ZF17" s="131">
        <f t="shared" si="132"/>
        <v>43</v>
      </c>
      <c r="ZG17" s="327"/>
      <c r="ZH17" s="200"/>
      <c r="ZI17" s="200">
        <v>26</v>
      </c>
      <c r="ZJ17" s="200"/>
      <c r="ZK17" s="200"/>
      <c r="ZL17" s="325"/>
      <c r="ZM17" s="326"/>
      <c r="ZN17" s="134"/>
      <c r="ZO17" s="134"/>
      <c r="ZP17" s="131">
        <f t="shared" si="122"/>
        <v>26</v>
      </c>
      <c r="ZQ17" s="327"/>
      <c r="ZR17" s="200"/>
      <c r="ZS17" s="404">
        <v>27</v>
      </c>
      <c r="ZT17" s="200"/>
      <c r="ZU17" s="140"/>
      <c r="ZV17" s="325"/>
      <c r="ZW17" s="326"/>
      <c r="ZX17" s="134">
        <v>2</v>
      </c>
      <c r="ZY17" s="134"/>
      <c r="ZZ17" s="131">
        <f t="shared" si="67"/>
        <v>27</v>
      </c>
      <c r="AAA17" s="327"/>
      <c r="AAB17" s="200"/>
      <c r="AAC17" s="404">
        <v>68</v>
      </c>
      <c r="AAD17" s="200"/>
      <c r="AAE17" s="200"/>
      <c r="AAF17" s="325"/>
      <c r="AAG17" s="326"/>
      <c r="AAH17" s="134">
        <v>1</v>
      </c>
      <c r="AAI17" s="134"/>
      <c r="AAJ17" s="131">
        <f t="shared" si="68"/>
        <v>68</v>
      </c>
      <c r="AAK17" s="226">
        <f t="shared" si="69"/>
        <v>203</v>
      </c>
      <c r="AAL17" s="226">
        <v>250</v>
      </c>
      <c r="AAM17" s="227">
        <f t="shared" si="70"/>
        <v>0.81200000000000006</v>
      </c>
      <c r="AAN17" s="329" t="s">
        <v>58</v>
      </c>
      <c r="AAO17" s="324"/>
      <c r="AAP17" s="200"/>
      <c r="AAQ17" s="200"/>
      <c r="AAR17" s="200"/>
      <c r="AAS17" s="200"/>
      <c r="AAT17" s="325"/>
      <c r="AAU17" s="326"/>
      <c r="AAV17" s="134"/>
      <c r="AAW17" s="134"/>
      <c r="AAX17" s="155"/>
      <c r="AAY17" s="131">
        <f t="shared" si="123"/>
        <v>0</v>
      </c>
      <c r="AAZ17" s="327"/>
      <c r="ABA17" s="200"/>
      <c r="ABB17" s="200">
        <v>52</v>
      </c>
      <c r="ABC17" s="200"/>
      <c r="ABD17" s="200"/>
      <c r="ABE17" s="325"/>
      <c r="ABF17" s="326"/>
      <c r="ABG17" s="134"/>
      <c r="ABH17" s="134"/>
      <c r="ABI17" s="131">
        <f t="shared" si="71"/>
        <v>52</v>
      </c>
      <c r="ABJ17" s="327"/>
      <c r="ABK17" s="200"/>
      <c r="ABL17" s="200">
        <v>56</v>
      </c>
      <c r="ABM17" s="200"/>
      <c r="ABN17" s="200"/>
      <c r="ABO17" s="325"/>
      <c r="ABP17" s="326"/>
      <c r="ABQ17" s="134"/>
      <c r="ABR17" s="134"/>
      <c r="ABS17" s="131">
        <f t="shared" si="124"/>
        <v>56</v>
      </c>
      <c r="ABT17" s="327"/>
      <c r="ABU17" s="200"/>
      <c r="ABV17" s="404"/>
      <c r="ABW17" s="200"/>
      <c r="ABX17" s="140"/>
      <c r="ABY17" s="325"/>
      <c r="ABZ17" s="326"/>
      <c r="ACA17" s="134"/>
      <c r="ACB17" s="134"/>
      <c r="ACC17" s="131">
        <f t="shared" si="73"/>
        <v>0</v>
      </c>
      <c r="ACD17" s="327"/>
      <c r="ACE17" s="200"/>
      <c r="ACF17" s="404">
        <v>37</v>
      </c>
      <c r="ACG17" s="200"/>
      <c r="ACH17" s="200"/>
      <c r="ACI17" s="325"/>
      <c r="ACJ17" s="326">
        <v>0</v>
      </c>
      <c r="ACK17" s="134">
        <v>0</v>
      </c>
      <c r="ACL17" s="134">
        <v>0</v>
      </c>
      <c r="ACM17" s="131">
        <f t="shared" si="74"/>
        <v>37</v>
      </c>
      <c r="ACN17" s="156">
        <f t="shared" si="75"/>
        <v>0</v>
      </c>
      <c r="ACO17" s="157"/>
      <c r="ACP17" s="229">
        <f t="shared" si="100"/>
        <v>145</v>
      </c>
      <c r="ACQ17" s="229">
        <v>150</v>
      </c>
      <c r="ACR17" s="230">
        <f t="shared" si="101"/>
        <v>0.96666666666666667</v>
      </c>
      <c r="ACS17" s="231">
        <f t="shared" si="76"/>
        <v>977</v>
      </c>
      <c r="ACT17" s="207">
        <f t="shared" si="76"/>
        <v>1050</v>
      </c>
      <c r="ACU17" s="208">
        <f t="shared" si="102"/>
        <v>0.93047619047619046</v>
      </c>
      <c r="ACW17" s="163">
        <f t="shared" si="103"/>
        <v>1.1159378839255001</v>
      </c>
      <c r="ACX17" s="5">
        <v>1</v>
      </c>
    </row>
    <row r="18" spans="1:778" s="102" customFormat="1" x14ac:dyDescent="0.35">
      <c r="A18" s="51" t="s">
        <v>46</v>
      </c>
      <c r="B18" s="165" t="s">
        <v>91</v>
      </c>
      <c r="C18" s="307"/>
      <c r="D18" s="308"/>
      <c r="E18" s="308"/>
      <c r="F18" s="308"/>
      <c r="G18" s="308"/>
      <c r="H18" s="309"/>
      <c r="I18" s="310"/>
      <c r="J18" s="57"/>
      <c r="K18" s="58">
        <f t="shared" si="0"/>
        <v>0</v>
      </c>
      <c r="L18" s="336"/>
      <c r="M18" s="405"/>
      <c r="N18" s="333"/>
      <c r="O18" s="333"/>
      <c r="P18" s="333"/>
      <c r="Q18" s="334"/>
      <c r="R18" s="335"/>
      <c r="S18" s="72"/>
      <c r="T18" s="58">
        <f t="shared" si="1"/>
        <v>0</v>
      </c>
      <c r="U18" s="314"/>
      <c r="V18" s="315"/>
      <c r="W18" s="315"/>
      <c r="X18" s="315"/>
      <c r="Y18" s="315"/>
      <c r="Z18" s="316"/>
      <c r="AA18" s="317"/>
      <c r="AB18" s="66"/>
      <c r="AC18" s="67">
        <f t="shared" si="2"/>
        <v>0</v>
      </c>
      <c r="AD18" s="319">
        <v>19</v>
      </c>
      <c r="AE18" s="308">
        <v>58</v>
      </c>
      <c r="AF18" s="308"/>
      <c r="AG18" s="308"/>
      <c r="AH18" s="308">
        <f>38+38</f>
        <v>76</v>
      </c>
      <c r="AI18" s="309"/>
      <c r="AJ18" s="310"/>
      <c r="AK18" s="57"/>
      <c r="AL18" s="88">
        <f t="shared" si="3"/>
        <v>153</v>
      </c>
      <c r="AM18" s="319">
        <v>34</v>
      </c>
      <c r="AN18" s="308"/>
      <c r="AO18" s="308"/>
      <c r="AP18" s="308"/>
      <c r="AQ18" s="308">
        <v>38</v>
      </c>
      <c r="AR18" s="377"/>
      <c r="AS18" s="310"/>
      <c r="AT18" s="57"/>
      <c r="AU18" s="58">
        <f t="shared" si="4"/>
        <v>72</v>
      </c>
      <c r="AV18" s="81">
        <v>269</v>
      </c>
      <c r="AW18" s="82">
        <f t="shared" si="77"/>
        <v>225</v>
      </c>
      <c r="AX18" s="82">
        <v>200</v>
      </c>
      <c r="AY18" s="172">
        <f t="shared" si="5"/>
        <v>1.125</v>
      </c>
      <c r="AZ18" s="84"/>
      <c r="BA18" s="307">
        <v>9</v>
      </c>
      <c r="BB18" s="308">
        <v>18</v>
      </c>
      <c r="BC18" s="308"/>
      <c r="BD18" s="308"/>
      <c r="BE18" s="308">
        <f>6+9+18</f>
        <v>33</v>
      </c>
      <c r="BF18" s="309"/>
      <c r="BG18" s="310"/>
      <c r="BH18" s="57"/>
      <c r="BI18" s="86">
        <f t="shared" si="6"/>
        <v>60</v>
      </c>
      <c r="BJ18" s="387"/>
      <c r="BK18" s="406">
        <v>4</v>
      </c>
      <c r="BL18" s="308"/>
      <c r="BM18" s="308"/>
      <c r="BN18" s="308">
        <f>36+10+30+18</f>
        <v>94</v>
      </c>
      <c r="BO18" s="309"/>
      <c r="BP18" s="310"/>
      <c r="BQ18" s="57"/>
      <c r="BR18" s="58">
        <f t="shared" si="7"/>
        <v>98</v>
      </c>
      <c r="BS18" s="319"/>
      <c r="BT18" s="308"/>
      <c r="BU18" s="308"/>
      <c r="BV18" s="308"/>
      <c r="BW18" s="308">
        <v>97</v>
      </c>
      <c r="BX18" s="309"/>
      <c r="BY18" s="310"/>
      <c r="BZ18" s="57"/>
      <c r="CA18" s="58">
        <f t="shared" si="105"/>
        <v>97</v>
      </c>
      <c r="CB18" s="319"/>
      <c r="CC18" s="308"/>
      <c r="CD18" s="308"/>
      <c r="CE18" s="308"/>
      <c r="CF18" s="308">
        <f>10+30+40+12+27+14</f>
        <v>133</v>
      </c>
      <c r="CG18" s="309"/>
      <c r="CH18" s="310"/>
      <c r="CI18" s="57"/>
      <c r="CJ18" s="88">
        <f t="shared" si="106"/>
        <v>133</v>
      </c>
      <c r="CK18" s="319">
        <v>14</v>
      </c>
      <c r="CL18" s="308">
        <v>15</v>
      </c>
      <c r="CM18" s="308"/>
      <c r="CN18" s="308"/>
      <c r="CO18" s="308">
        <v>45</v>
      </c>
      <c r="CP18" s="377"/>
      <c r="CQ18" s="310"/>
      <c r="CR18" s="57"/>
      <c r="CS18" s="91">
        <f t="shared" si="78"/>
        <v>74</v>
      </c>
      <c r="CT18" s="92">
        <v>927</v>
      </c>
      <c r="CU18" s="93">
        <f t="shared" si="79"/>
        <v>462</v>
      </c>
      <c r="CV18" s="93">
        <v>250</v>
      </c>
      <c r="CW18" s="175">
        <f t="shared" si="8"/>
        <v>1.8480000000000001</v>
      </c>
      <c r="CX18" s="95"/>
      <c r="CY18" s="307">
        <v>7</v>
      </c>
      <c r="CZ18" s="308">
        <v>12</v>
      </c>
      <c r="DA18" s="308"/>
      <c r="DB18" s="308"/>
      <c r="DC18" s="308">
        <v>68</v>
      </c>
      <c r="DD18" s="309"/>
      <c r="DE18" s="310"/>
      <c r="DF18" s="57"/>
      <c r="DG18" s="58">
        <f t="shared" si="9"/>
        <v>87</v>
      </c>
      <c r="DH18" s="338">
        <v>18</v>
      </c>
      <c r="DI18" s="406">
        <v>3</v>
      </c>
      <c r="DJ18" s="308"/>
      <c r="DK18" s="308"/>
      <c r="DL18" s="308">
        <f>14+6+25+14+32</f>
        <v>91</v>
      </c>
      <c r="DM18" s="309"/>
      <c r="DN18" s="310"/>
      <c r="DO18" s="57"/>
      <c r="DP18" s="58">
        <f t="shared" si="10"/>
        <v>112</v>
      </c>
      <c r="DQ18" s="319"/>
      <c r="DR18" s="308"/>
      <c r="DS18" s="308"/>
      <c r="DT18" s="308"/>
      <c r="DU18" s="308">
        <f>6+31+30+15+32+14+3</f>
        <v>131</v>
      </c>
      <c r="DV18" s="309"/>
      <c r="DW18" s="310"/>
      <c r="DX18" s="57"/>
      <c r="DY18" s="58">
        <f t="shared" si="80"/>
        <v>131</v>
      </c>
      <c r="DZ18" s="319">
        <v>6</v>
      </c>
      <c r="EA18" s="308">
        <v>10</v>
      </c>
      <c r="EB18" s="308"/>
      <c r="EC18" s="308"/>
      <c r="ED18" s="308">
        <f>29+36+10</f>
        <v>75</v>
      </c>
      <c r="EE18" s="309"/>
      <c r="EF18" s="310"/>
      <c r="EG18" s="57"/>
      <c r="EH18" s="96">
        <f t="shared" si="81"/>
        <v>91</v>
      </c>
      <c r="EI18" s="379">
        <v>12</v>
      </c>
      <c r="EJ18" s="308">
        <v>7</v>
      </c>
      <c r="EK18" s="308"/>
      <c r="EL18" s="308"/>
      <c r="EM18" s="308">
        <v>109</v>
      </c>
      <c r="EN18" s="377"/>
      <c r="EO18" s="310"/>
      <c r="EP18" s="57"/>
      <c r="EQ18" s="98">
        <f t="shared" si="82"/>
        <v>128</v>
      </c>
      <c r="ER18" s="99">
        <v>820</v>
      </c>
      <c r="ES18" s="100">
        <f t="shared" si="111"/>
        <v>549</v>
      </c>
      <c r="ET18" s="346">
        <v>250</v>
      </c>
      <c r="EU18" s="177">
        <f t="shared" si="11"/>
        <v>2.1960000000000002</v>
      </c>
      <c r="EW18" s="307"/>
      <c r="EX18" s="308">
        <v>22</v>
      </c>
      <c r="EY18" s="308"/>
      <c r="EZ18" s="308"/>
      <c r="FA18" s="308">
        <v>52</v>
      </c>
      <c r="FB18" s="309"/>
      <c r="FC18" s="310"/>
      <c r="FD18" s="57"/>
      <c r="FE18" s="58">
        <f t="shared" si="12"/>
        <v>74</v>
      </c>
      <c r="FF18" s="338">
        <v>20</v>
      </c>
      <c r="FG18" s="406">
        <v>31</v>
      </c>
      <c r="FH18" s="308">
        <v>109</v>
      </c>
      <c r="FI18" s="308"/>
      <c r="FJ18" s="308"/>
      <c r="FK18" s="309"/>
      <c r="FL18" s="310"/>
      <c r="FM18" s="57"/>
      <c r="FN18" s="58">
        <f t="shared" si="13"/>
        <v>160</v>
      </c>
      <c r="FO18" s="319"/>
      <c r="FP18" s="308"/>
      <c r="FQ18" s="308"/>
      <c r="FR18" s="308"/>
      <c r="FS18" s="308">
        <v>116</v>
      </c>
      <c r="FT18" s="309"/>
      <c r="FU18" s="310"/>
      <c r="FV18" s="57"/>
      <c r="FW18" s="58">
        <f t="shared" si="83"/>
        <v>116</v>
      </c>
      <c r="FX18" s="319"/>
      <c r="FY18" s="308"/>
      <c r="FZ18" s="308"/>
      <c r="GA18" s="308"/>
      <c r="GB18" s="308">
        <v>128</v>
      </c>
      <c r="GC18" s="309"/>
      <c r="GD18" s="310"/>
      <c r="GE18" s="57"/>
      <c r="GF18" s="58">
        <f t="shared" si="84"/>
        <v>128</v>
      </c>
      <c r="GG18" s="319"/>
      <c r="GH18" s="308"/>
      <c r="GI18" s="308"/>
      <c r="GJ18" s="308"/>
      <c r="GK18" s="308">
        <v>99</v>
      </c>
      <c r="GL18" s="377"/>
      <c r="GM18" s="310"/>
      <c r="GN18" s="57"/>
      <c r="GO18" s="58">
        <f t="shared" si="85"/>
        <v>99</v>
      </c>
      <c r="GP18" s="103">
        <v>967</v>
      </c>
      <c r="GQ18" s="104">
        <f t="shared" si="86"/>
        <v>577</v>
      </c>
      <c r="GR18" s="104">
        <v>250</v>
      </c>
      <c r="GS18" s="178">
        <f t="shared" si="14"/>
        <v>2.3079999999999998</v>
      </c>
      <c r="GT18" s="307"/>
      <c r="GU18" s="308"/>
      <c r="GV18" s="308"/>
      <c r="GW18" s="308"/>
      <c r="GX18" s="308"/>
      <c r="GY18" s="309"/>
      <c r="GZ18" s="310"/>
      <c r="HA18" s="57"/>
      <c r="HB18" s="57"/>
      <c r="HC18" s="58">
        <f t="shared" si="15"/>
        <v>0</v>
      </c>
      <c r="HD18" s="338"/>
      <c r="HE18" s="406"/>
      <c r="HF18" s="308"/>
      <c r="HG18" s="308"/>
      <c r="HH18" s="308"/>
      <c r="HI18" s="309"/>
      <c r="HJ18" s="310"/>
      <c r="HK18" s="57"/>
      <c r="HL18" s="57"/>
      <c r="HM18" s="58">
        <f t="shared" si="16"/>
        <v>0</v>
      </c>
      <c r="HN18" s="319"/>
      <c r="HO18" s="308"/>
      <c r="HP18" s="308"/>
      <c r="HQ18" s="308"/>
      <c r="HR18" s="308"/>
      <c r="HS18" s="309"/>
      <c r="HT18" s="310"/>
      <c r="HU18" s="57"/>
      <c r="HV18" s="57"/>
      <c r="HW18" s="58">
        <f t="shared" si="17"/>
        <v>0</v>
      </c>
      <c r="HX18" s="319"/>
      <c r="HY18" s="308"/>
      <c r="HZ18" s="308"/>
      <c r="IA18" s="308"/>
      <c r="IB18" s="308"/>
      <c r="IC18" s="309"/>
      <c r="ID18" s="310"/>
      <c r="IE18" s="57"/>
      <c r="IF18" s="57"/>
      <c r="IG18" s="88">
        <f t="shared" si="18"/>
        <v>0</v>
      </c>
      <c r="IH18" s="319"/>
      <c r="II18" s="308"/>
      <c r="IJ18" s="308"/>
      <c r="IK18" s="308"/>
      <c r="IL18" s="308"/>
      <c r="IM18" s="377"/>
      <c r="IN18" s="310"/>
      <c r="IO18" s="57"/>
      <c r="IP18" s="57"/>
      <c r="IQ18" s="58">
        <f t="shared" si="19"/>
        <v>0</v>
      </c>
      <c r="IR18" s="106"/>
      <c r="IS18" s="107"/>
      <c r="IT18" s="107"/>
      <c r="IU18" s="179"/>
      <c r="IV18" s="95"/>
      <c r="IW18" s="109">
        <f t="shared" si="87"/>
        <v>2983</v>
      </c>
      <c r="IX18" s="110">
        <f t="shared" si="87"/>
        <v>1813</v>
      </c>
      <c r="IY18" s="110">
        <f t="shared" si="87"/>
        <v>950</v>
      </c>
      <c r="IZ18" s="347">
        <f t="shared" si="20"/>
        <v>1.908421052631579</v>
      </c>
      <c r="JB18" s="381" t="s">
        <v>59</v>
      </c>
      <c r="JC18" s="318">
        <v>11</v>
      </c>
      <c r="JD18" s="308">
        <v>30</v>
      </c>
      <c r="JE18" s="308"/>
      <c r="JF18" s="308"/>
      <c r="JG18" s="308">
        <v>72</v>
      </c>
      <c r="JH18" s="309"/>
      <c r="JI18" s="310"/>
      <c r="JJ18" s="57"/>
      <c r="JK18" s="57"/>
      <c r="JL18" s="58">
        <f t="shared" si="112"/>
        <v>113</v>
      </c>
      <c r="JM18" s="338">
        <v>7</v>
      </c>
      <c r="JN18" s="406">
        <v>19</v>
      </c>
      <c r="JO18" s="308"/>
      <c r="JP18" s="308"/>
      <c r="JQ18" s="308">
        <v>65</v>
      </c>
      <c r="JR18" s="309"/>
      <c r="JS18" s="310"/>
      <c r="JT18" s="57"/>
      <c r="JU18" s="57"/>
      <c r="JV18" s="58">
        <f t="shared" si="125"/>
        <v>91</v>
      </c>
      <c r="JW18" s="319">
        <v>4</v>
      </c>
      <c r="JX18" s="308">
        <v>14</v>
      </c>
      <c r="JY18" s="308"/>
      <c r="JZ18" s="308"/>
      <c r="KA18" s="308">
        <v>77</v>
      </c>
      <c r="KB18" s="309"/>
      <c r="KC18" s="310"/>
      <c r="KD18" s="57"/>
      <c r="KE18" s="57"/>
      <c r="KF18" s="58">
        <f t="shared" si="23"/>
        <v>95</v>
      </c>
      <c r="KG18" s="319"/>
      <c r="KH18" s="308">
        <v>21</v>
      </c>
      <c r="KI18" s="308"/>
      <c r="KJ18" s="308"/>
      <c r="KK18" s="308">
        <v>101</v>
      </c>
      <c r="KL18" s="309"/>
      <c r="KM18" s="310"/>
      <c r="KN18" s="57"/>
      <c r="KO18" s="57"/>
      <c r="KP18" s="88">
        <f t="shared" si="24"/>
        <v>122</v>
      </c>
      <c r="KQ18" s="319"/>
      <c r="KR18" s="308">
        <v>20</v>
      </c>
      <c r="KS18" s="308"/>
      <c r="KT18" s="308"/>
      <c r="KU18" s="308">
        <v>28</v>
      </c>
      <c r="KV18" s="377"/>
      <c r="KW18" s="56"/>
      <c r="KX18" s="57">
        <v>661</v>
      </c>
      <c r="KY18" s="57"/>
      <c r="KZ18" s="58">
        <f t="shared" si="25"/>
        <v>48</v>
      </c>
      <c r="LA18" s="81">
        <f t="shared" si="107"/>
        <v>661</v>
      </c>
      <c r="LB18" s="82">
        <f t="shared" si="26"/>
        <v>469</v>
      </c>
      <c r="LC18" s="348">
        <v>250</v>
      </c>
      <c r="LD18" s="82">
        <f t="shared" si="88"/>
        <v>219</v>
      </c>
      <c r="LE18" s="192">
        <f t="shared" si="89"/>
        <v>1.8759999999999999</v>
      </c>
      <c r="LF18" s="115"/>
      <c r="LG18" s="382" t="s">
        <v>59</v>
      </c>
      <c r="LH18" s="318">
        <v>10</v>
      </c>
      <c r="LI18" s="308">
        <v>48</v>
      </c>
      <c r="LJ18" s="308"/>
      <c r="LK18" s="308"/>
      <c r="LL18" s="308">
        <v>28</v>
      </c>
      <c r="LM18" s="309"/>
      <c r="LN18" s="310"/>
      <c r="LO18" s="57"/>
      <c r="LP18" s="57"/>
      <c r="LQ18" s="58">
        <f t="shared" si="113"/>
        <v>86</v>
      </c>
      <c r="LR18" s="338">
        <v>3</v>
      </c>
      <c r="LS18" s="406">
        <v>30</v>
      </c>
      <c r="LT18" s="308"/>
      <c r="LU18" s="308"/>
      <c r="LV18" s="308">
        <v>70</v>
      </c>
      <c r="LW18" s="309"/>
      <c r="LX18" s="310"/>
      <c r="LY18" s="57"/>
      <c r="LZ18" s="57"/>
      <c r="MA18" s="58">
        <f t="shared" si="126"/>
        <v>103</v>
      </c>
      <c r="MB18" s="319">
        <v>130</v>
      </c>
      <c r="MC18" s="308">
        <v>13</v>
      </c>
      <c r="MD18" s="308"/>
      <c r="ME18" s="308"/>
      <c r="MF18" s="308">
        <v>11</v>
      </c>
      <c r="MG18" s="309"/>
      <c r="MH18" s="310"/>
      <c r="MI18" s="57"/>
      <c r="MJ18" s="57"/>
      <c r="MK18" s="58">
        <f t="shared" si="29"/>
        <v>154</v>
      </c>
      <c r="ML18" s="319">
        <v>73</v>
      </c>
      <c r="MM18" s="308">
        <v>1</v>
      </c>
      <c r="MN18" s="308">
        <v>33</v>
      </c>
      <c r="MO18" s="308"/>
      <c r="MP18" s="308"/>
      <c r="MQ18" s="309"/>
      <c r="MR18" s="310"/>
      <c r="MS18" s="57"/>
      <c r="MT18" s="57"/>
      <c r="MU18" s="88">
        <f t="shared" si="30"/>
        <v>107</v>
      </c>
      <c r="MV18" s="319"/>
      <c r="MW18" s="308">
        <v>2</v>
      </c>
      <c r="MX18" s="308">
        <v>79</v>
      </c>
      <c r="MY18" s="308"/>
      <c r="MZ18" s="308">
        <v>88</v>
      </c>
      <c r="NA18" s="377"/>
      <c r="NB18" s="310"/>
      <c r="NC18" s="57">
        <v>1119</v>
      </c>
      <c r="ND18" s="57"/>
      <c r="NE18" s="58">
        <f t="shared" si="31"/>
        <v>169</v>
      </c>
      <c r="NF18" s="117">
        <f t="shared" si="90"/>
        <v>1119</v>
      </c>
      <c r="NG18" s="93">
        <f t="shared" si="32"/>
        <v>619</v>
      </c>
      <c r="NH18" s="349">
        <v>250</v>
      </c>
      <c r="NI18" s="93">
        <f t="shared" si="91"/>
        <v>369</v>
      </c>
      <c r="NJ18" s="196">
        <f t="shared" si="108"/>
        <v>2.476</v>
      </c>
      <c r="NK18" s="119"/>
      <c r="NL18" s="382" t="s">
        <v>59</v>
      </c>
      <c r="NM18" s="318">
        <v>10</v>
      </c>
      <c r="NN18" s="308"/>
      <c r="NO18" s="308"/>
      <c r="NP18" s="308"/>
      <c r="NQ18" s="308">
        <v>89</v>
      </c>
      <c r="NR18" s="309"/>
      <c r="NS18" s="310"/>
      <c r="NT18" s="57"/>
      <c r="NU18" s="57"/>
      <c r="NV18" s="58">
        <f t="shared" si="114"/>
        <v>99</v>
      </c>
      <c r="NW18" s="338">
        <v>5</v>
      </c>
      <c r="NX18" s="406">
        <v>69</v>
      </c>
      <c r="NY18" s="308"/>
      <c r="NZ18" s="308"/>
      <c r="OA18" s="308">
        <v>46</v>
      </c>
      <c r="OB18" s="309"/>
      <c r="OC18" s="310"/>
      <c r="OD18" s="57"/>
      <c r="OE18" s="57"/>
      <c r="OF18" s="58">
        <f t="shared" si="127"/>
        <v>120</v>
      </c>
      <c r="OG18" s="319">
        <v>11</v>
      </c>
      <c r="OH18" s="308">
        <v>16</v>
      </c>
      <c r="OI18" s="308"/>
      <c r="OJ18" s="308"/>
      <c r="OK18" s="308">
        <v>129</v>
      </c>
      <c r="OL18" s="309"/>
      <c r="OM18" s="310"/>
      <c r="ON18" s="57"/>
      <c r="OO18" s="57"/>
      <c r="OP18" s="58">
        <f t="shared" si="35"/>
        <v>156</v>
      </c>
      <c r="OQ18" s="319"/>
      <c r="OR18" s="308">
        <v>10</v>
      </c>
      <c r="OS18" s="308"/>
      <c r="OT18" s="308"/>
      <c r="OU18" s="308">
        <v>98</v>
      </c>
      <c r="OV18" s="309"/>
      <c r="OW18" s="310"/>
      <c r="OX18" s="57"/>
      <c r="OY18" s="57"/>
      <c r="OZ18" s="88">
        <f t="shared" si="36"/>
        <v>108</v>
      </c>
      <c r="PA18" s="319">
        <v>18</v>
      </c>
      <c r="PB18" s="308">
        <v>24</v>
      </c>
      <c r="PC18" s="308"/>
      <c r="PD18" s="308"/>
      <c r="PE18" s="308">
        <v>47</v>
      </c>
      <c r="PF18" s="377"/>
      <c r="PG18" s="310"/>
      <c r="PH18" s="57"/>
      <c r="PI18" s="57"/>
      <c r="PJ18" s="58">
        <f t="shared" si="37"/>
        <v>89</v>
      </c>
      <c r="PK18" s="99">
        <f t="shared" si="38"/>
        <v>0</v>
      </c>
      <c r="PL18" s="100">
        <f t="shared" si="39"/>
        <v>572</v>
      </c>
      <c r="PM18" s="346">
        <v>250</v>
      </c>
      <c r="PN18" s="100">
        <f t="shared" si="92"/>
        <v>322</v>
      </c>
      <c r="PO18" s="198">
        <f t="shared" si="109"/>
        <v>2.2879999999999998</v>
      </c>
      <c r="PP18" s="119"/>
      <c r="PQ18" s="382" t="s">
        <v>59</v>
      </c>
      <c r="PR18" s="318">
        <v>42</v>
      </c>
      <c r="PS18" s="308">
        <v>29</v>
      </c>
      <c r="PT18" s="308"/>
      <c r="PU18" s="308"/>
      <c r="PV18" s="308">
        <v>108</v>
      </c>
      <c r="PW18" s="309"/>
      <c r="PX18" s="310"/>
      <c r="PY18" s="57"/>
      <c r="PZ18" s="57"/>
      <c r="QA18" s="58">
        <f t="shared" si="115"/>
        <v>179</v>
      </c>
      <c r="QB18" s="338">
        <v>79</v>
      </c>
      <c r="QC18" s="406">
        <v>8</v>
      </c>
      <c r="QD18" s="308"/>
      <c r="QE18" s="308"/>
      <c r="QF18" s="308">
        <v>20</v>
      </c>
      <c r="QG18" s="309"/>
      <c r="QH18" s="310"/>
      <c r="QI18" s="57"/>
      <c r="QJ18" s="57"/>
      <c r="QK18" s="58">
        <f t="shared" si="128"/>
        <v>107</v>
      </c>
      <c r="QL18" s="319">
        <v>17</v>
      </c>
      <c r="QM18" s="308">
        <v>79</v>
      </c>
      <c r="QN18" s="308"/>
      <c r="QO18" s="308"/>
      <c r="QP18" s="308">
        <v>8</v>
      </c>
      <c r="QQ18" s="309"/>
      <c r="QR18" s="310"/>
      <c r="QS18" s="57"/>
      <c r="QT18" s="57"/>
      <c r="QU18" s="58">
        <f t="shared" si="42"/>
        <v>104</v>
      </c>
      <c r="QV18" s="319">
        <v>6</v>
      </c>
      <c r="QW18" s="308">
        <v>98</v>
      </c>
      <c r="QX18" s="308"/>
      <c r="QY18" s="308"/>
      <c r="QZ18" s="308"/>
      <c r="RA18" s="309"/>
      <c r="RB18" s="310"/>
      <c r="RC18" s="57"/>
      <c r="RD18" s="57"/>
      <c r="RE18" s="88">
        <f t="shared" si="43"/>
        <v>104</v>
      </c>
      <c r="RF18" s="319"/>
      <c r="RG18" s="308">
        <v>53</v>
      </c>
      <c r="RH18" s="308"/>
      <c r="RI18" s="308"/>
      <c r="RJ18" s="308">
        <v>24</v>
      </c>
      <c r="RK18" s="377"/>
      <c r="RL18" s="310"/>
      <c r="RM18" s="57">
        <v>736</v>
      </c>
      <c r="RN18" s="57"/>
      <c r="RO18" s="58">
        <f t="shared" si="44"/>
        <v>77</v>
      </c>
      <c r="RP18" s="121">
        <f t="shared" si="93"/>
        <v>736</v>
      </c>
      <c r="RQ18" s="104">
        <f t="shared" si="45"/>
        <v>571</v>
      </c>
      <c r="RR18" s="350">
        <v>250</v>
      </c>
      <c r="RS18" s="104">
        <f t="shared" si="94"/>
        <v>321</v>
      </c>
      <c r="RT18" s="205">
        <f t="shared" si="110"/>
        <v>2.2839999999999998</v>
      </c>
      <c r="RV18" s="123">
        <f t="shared" si="95"/>
        <v>2516</v>
      </c>
      <c r="RW18" s="124">
        <f t="shared" si="95"/>
        <v>2231</v>
      </c>
      <c r="RX18" s="124">
        <f t="shared" si="95"/>
        <v>1000</v>
      </c>
      <c r="RY18" s="125">
        <f t="shared" si="96"/>
        <v>2.2309999999999999</v>
      </c>
      <c r="SA18" s="165" t="s">
        <v>59</v>
      </c>
      <c r="SB18" s="324">
        <v>26</v>
      </c>
      <c r="SC18" s="200"/>
      <c r="SD18" s="200"/>
      <c r="SE18" s="200"/>
      <c r="SF18" s="200">
        <v>32</v>
      </c>
      <c r="SG18" s="325"/>
      <c r="SH18" s="326"/>
      <c r="SI18" s="134"/>
      <c r="SJ18" s="134">
        <v>4</v>
      </c>
      <c r="SK18" s="131">
        <f t="shared" si="116"/>
        <v>58</v>
      </c>
      <c r="SL18" s="327">
        <v>1</v>
      </c>
      <c r="SM18" s="200">
        <v>82</v>
      </c>
      <c r="SN18" s="200">
        <v>27</v>
      </c>
      <c r="SO18" s="200"/>
      <c r="SP18" s="200">
        <v>12</v>
      </c>
      <c r="SQ18" s="325"/>
      <c r="SR18" s="326"/>
      <c r="SS18" s="134"/>
      <c r="ST18" s="134"/>
      <c r="SU18" s="131">
        <f t="shared" si="129"/>
        <v>122</v>
      </c>
      <c r="SV18" s="327">
        <v>22</v>
      </c>
      <c r="SW18" s="200">
        <v>20</v>
      </c>
      <c r="SX18" s="200"/>
      <c r="SY18" s="200"/>
      <c r="SZ18" s="200">
        <v>38</v>
      </c>
      <c r="TA18" s="325"/>
      <c r="TB18" s="326"/>
      <c r="TC18" s="134"/>
      <c r="TD18" s="134"/>
      <c r="TE18" s="131">
        <f t="shared" si="117"/>
        <v>80</v>
      </c>
      <c r="TF18" s="327">
        <v>8</v>
      </c>
      <c r="TG18" s="200">
        <v>20</v>
      </c>
      <c r="TH18" s="200">
        <v>44</v>
      </c>
      <c r="TI18" s="200"/>
      <c r="TJ18" s="200"/>
      <c r="TK18" s="325"/>
      <c r="TL18" s="326"/>
      <c r="TM18" s="134"/>
      <c r="TN18" s="134"/>
      <c r="TO18" s="131">
        <f t="shared" si="49"/>
        <v>72</v>
      </c>
      <c r="TP18" s="327">
        <v>12</v>
      </c>
      <c r="TQ18" s="200">
        <v>32</v>
      </c>
      <c r="TR18" s="200"/>
      <c r="TS18" s="200"/>
      <c r="TT18" s="200">
        <v>28</v>
      </c>
      <c r="TU18" s="325"/>
      <c r="TV18" s="326"/>
      <c r="TW18" s="134"/>
      <c r="TX18" s="134"/>
      <c r="TY18" s="136">
        <f t="shared" si="50"/>
        <v>72</v>
      </c>
      <c r="TZ18" s="209">
        <f t="shared" si="97"/>
        <v>4</v>
      </c>
      <c r="UA18" s="210">
        <f t="shared" si="97"/>
        <v>404</v>
      </c>
      <c r="UB18" s="210">
        <v>250</v>
      </c>
      <c r="UC18" s="211">
        <f t="shared" si="51"/>
        <v>1.6160000000000001</v>
      </c>
      <c r="UD18" s="140"/>
      <c r="UE18" s="220" t="s">
        <v>59</v>
      </c>
      <c r="UF18" s="324"/>
      <c r="UG18" s="200"/>
      <c r="UH18" s="200"/>
      <c r="UI18" s="200"/>
      <c r="UJ18" s="200"/>
      <c r="UK18" s="325"/>
      <c r="UL18" s="326"/>
      <c r="UM18" s="134"/>
      <c r="UN18" s="134"/>
      <c r="UO18" s="131">
        <f t="shared" si="118"/>
        <v>0</v>
      </c>
      <c r="UP18" s="327"/>
      <c r="UQ18" s="200"/>
      <c r="UR18" s="200"/>
      <c r="US18" s="200"/>
      <c r="UT18" s="200"/>
      <c r="UU18" s="325"/>
      <c r="UV18" s="326"/>
      <c r="UW18" s="134"/>
      <c r="UX18" s="134"/>
      <c r="UY18" s="131">
        <f t="shared" si="130"/>
        <v>0</v>
      </c>
      <c r="UZ18" s="327">
        <v>10</v>
      </c>
      <c r="VA18" s="200">
        <v>68</v>
      </c>
      <c r="VB18" s="200"/>
      <c r="VC18" s="200"/>
      <c r="VD18" s="200"/>
      <c r="VE18" s="325"/>
      <c r="VF18" s="326"/>
      <c r="VG18" s="134"/>
      <c r="VH18" s="134"/>
      <c r="VI18" s="131">
        <f t="shared" si="119"/>
        <v>78</v>
      </c>
      <c r="VJ18" s="327"/>
      <c r="VK18" s="200">
        <v>8</v>
      </c>
      <c r="VL18" s="200"/>
      <c r="VM18" s="200">
        <v>345</v>
      </c>
      <c r="VN18" s="200"/>
      <c r="VO18" s="325"/>
      <c r="VP18" s="326"/>
      <c r="VQ18" s="134"/>
      <c r="VR18" s="134"/>
      <c r="VS18" s="131">
        <f t="shared" si="55"/>
        <v>353</v>
      </c>
      <c r="VT18" s="327">
        <v>5</v>
      </c>
      <c r="VU18" s="200">
        <v>33</v>
      </c>
      <c r="VV18" s="200"/>
      <c r="VW18" s="200"/>
      <c r="VX18" s="200"/>
      <c r="VY18" s="325">
        <v>11</v>
      </c>
      <c r="VZ18" s="326"/>
      <c r="WA18" s="134"/>
      <c r="WB18" s="134"/>
      <c r="WC18" s="131">
        <f t="shared" si="56"/>
        <v>49</v>
      </c>
      <c r="WD18" s="216">
        <f t="shared" si="98"/>
        <v>0</v>
      </c>
      <c r="WE18" s="217">
        <f t="shared" si="98"/>
        <v>480</v>
      </c>
      <c r="WF18" s="217">
        <v>150</v>
      </c>
      <c r="WG18" s="218">
        <f t="shared" si="57"/>
        <v>3.2</v>
      </c>
      <c r="WH18" s="146"/>
      <c r="WI18" s="220" t="s">
        <v>59</v>
      </c>
      <c r="WJ18" s="324">
        <v>14</v>
      </c>
      <c r="WK18" s="200">
        <v>59</v>
      </c>
      <c r="WL18" s="200"/>
      <c r="WM18" s="200"/>
      <c r="WN18" s="200">
        <v>4</v>
      </c>
      <c r="WO18" s="325"/>
      <c r="WP18" s="326"/>
      <c r="WQ18" s="134"/>
      <c r="WR18" s="134"/>
      <c r="WS18" s="131">
        <f t="shared" si="58"/>
        <v>77</v>
      </c>
      <c r="WT18" s="327">
        <v>0</v>
      </c>
      <c r="WU18" s="200">
        <v>15</v>
      </c>
      <c r="WV18" s="200"/>
      <c r="WW18" s="200">
        <v>368</v>
      </c>
      <c r="WX18" s="200">
        <v>10</v>
      </c>
      <c r="WY18" s="325"/>
      <c r="WZ18" s="326"/>
      <c r="XA18" s="134"/>
      <c r="XB18" s="134"/>
      <c r="XC18" s="131">
        <f t="shared" si="131"/>
        <v>393</v>
      </c>
      <c r="XD18" s="327">
        <v>9</v>
      </c>
      <c r="XE18" s="200">
        <v>43</v>
      </c>
      <c r="XF18" s="200"/>
      <c r="XG18" s="200">
        <v>171</v>
      </c>
      <c r="XH18" s="200"/>
      <c r="XI18" s="325"/>
      <c r="XJ18" s="326"/>
      <c r="XK18" s="134"/>
      <c r="XL18" s="134"/>
      <c r="XM18" s="131">
        <f t="shared" si="120"/>
        <v>223</v>
      </c>
      <c r="XN18" s="327"/>
      <c r="XO18" s="200">
        <v>7</v>
      </c>
      <c r="XP18" s="200"/>
      <c r="XQ18" s="200">
        <v>234</v>
      </c>
      <c r="XR18" s="200"/>
      <c r="XS18" s="325"/>
      <c r="XT18" s="326"/>
      <c r="XU18" s="134"/>
      <c r="XV18" s="134"/>
      <c r="XW18" s="131">
        <f t="shared" si="61"/>
        <v>241</v>
      </c>
      <c r="XX18" s="327"/>
      <c r="XY18" s="200">
        <v>4</v>
      </c>
      <c r="XZ18" s="200"/>
      <c r="YA18" s="200">
        <v>279</v>
      </c>
      <c r="YB18" s="200"/>
      <c r="YC18" s="325"/>
      <c r="YD18" s="326"/>
      <c r="YE18" s="134"/>
      <c r="YF18" s="134"/>
      <c r="YG18" s="131">
        <f t="shared" si="62"/>
        <v>283</v>
      </c>
      <c r="YH18" s="221">
        <f t="shared" si="99"/>
        <v>0</v>
      </c>
      <c r="YI18" s="148">
        <f t="shared" si="99"/>
        <v>1217</v>
      </c>
      <c r="YJ18" s="222">
        <v>1217</v>
      </c>
      <c r="YK18" s="223">
        <f t="shared" si="63"/>
        <v>1</v>
      </c>
      <c r="YL18" s="150"/>
      <c r="YM18" s="328">
        <v>8</v>
      </c>
      <c r="YN18" s="200">
        <v>11</v>
      </c>
      <c r="YO18" s="200"/>
      <c r="YP18" s="200">
        <v>182</v>
      </c>
      <c r="YQ18" s="200"/>
      <c r="YR18" s="325"/>
      <c r="YS18" s="326"/>
      <c r="YT18" s="134"/>
      <c r="YU18" s="134"/>
      <c r="YV18" s="131">
        <f t="shared" si="121"/>
        <v>201</v>
      </c>
      <c r="YW18" s="327">
        <v>10</v>
      </c>
      <c r="YX18" s="200">
        <v>40</v>
      </c>
      <c r="YY18" s="200"/>
      <c r="YZ18" s="200">
        <v>8</v>
      </c>
      <c r="ZA18" s="200">
        <v>12</v>
      </c>
      <c r="ZB18" s="325"/>
      <c r="ZC18" s="326"/>
      <c r="ZD18" s="134"/>
      <c r="ZE18" s="134"/>
      <c r="ZF18" s="131">
        <f t="shared" si="132"/>
        <v>70</v>
      </c>
      <c r="ZG18" s="327"/>
      <c r="ZH18" s="200">
        <v>20</v>
      </c>
      <c r="ZI18" s="200"/>
      <c r="ZJ18" s="200">
        <v>91</v>
      </c>
      <c r="ZK18" s="200"/>
      <c r="ZL18" s="325"/>
      <c r="ZM18" s="326"/>
      <c r="ZN18" s="134"/>
      <c r="ZO18" s="134"/>
      <c r="ZP18" s="131">
        <f t="shared" si="122"/>
        <v>111</v>
      </c>
      <c r="ZQ18" s="327">
        <v>4</v>
      </c>
      <c r="ZR18" s="200">
        <v>11</v>
      </c>
      <c r="ZS18" s="200"/>
      <c r="ZT18" s="200">
        <v>167</v>
      </c>
      <c r="ZU18" s="200">
        <v>1</v>
      </c>
      <c r="ZV18" s="325"/>
      <c r="ZW18" s="326"/>
      <c r="ZX18" s="134"/>
      <c r="ZY18" s="134"/>
      <c r="ZZ18" s="131">
        <f t="shared" si="67"/>
        <v>183</v>
      </c>
      <c r="AAA18" s="327"/>
      <c r="AAB18" s="200">
        <v>19</v>
      </c>
      <c r="AAC18" s="200"/>
      <c r="AAD18" s="200">
        <v>97</v>
      </c>
      <c r="AAE18" s="200"/>
      <c r="AAF18" s="325"/>
      <c r="AAG18" s="326"/>
      <c r="AAH18" s="134"/>
      <c r="AAI18" s="134"/>
      <c r="AAJ18" s="131">
        <f t="shared" si="68"/>
        <v>116</v>
      </c>
      <c r="AAK18" s="226">
        <f t="shared" si="69"/>
        <v>681</v>
      </c>
      <c r="AAL18" s="226">
        <v>250</v>
      </c>
      <c r="AAM18" s="227">
        <f t="shared" si="70"/>
        <v>2.7240000000000002</v>
      </c>
      <c r="AAN18" s="329" t="s">
        <v>59</v>
      </c>
      <c r="AAO18" s="324"/>
      <c r="AAP18" s="200"/>
      <c r="AAQ18" s="200"/>
      <c r="AAR18" s="200"/>
      <c r="AAS18" s="200"/>
      <c r="AAT18" s="325"/>
      <c r="AAU18" s="326"/>
      <c r="AAV18" s="134"/>
      <c r="AAW18" s="134"/>
      <c r="AAX18" s="155"/>
      <c r="AAY18" s="131">
        <f t="shared" si="123"/>
        <v>0</v>
      </c>
      <c r="AAZ18" s="327">
        <v>3</v>
      </c>
      <c r="ABA18" s="200">
        <v>51</v>
      </c>
      <c r="ABB18" s="200"/>
      <c r="ABC18" s="200">
        <v>88</v>
      </c>
      <c r="ABD18" s="200">
        <v>5</v>
      </c>
      <c r="ABE18" s="325"/>
      <c r="ABF18" s="326"/>
      <c r="ABG18" s="134"/>
      <c r="ABH18" s="134"/>
      <c r="ABI18" s="131">
        <f t="shared" si="71"/>
        <v>147</v>
      </c>
      <c r="ABJ18" s="327">
        <v>10</v>
      </c>
      <c r="ABK18" s="200">
        <v>7</v>
      </c>
      <c r="ABL18" s="200"/>
      <c r="ABM18" s="200">
        <v>38</v>
      </c>
      <c r="ABN18" s="200">
        <v>2</v>
      </c>
      <c r="ABO18" s="325"/>
      <c r="ABP18" s="326"/>
      <c r="ABQ18" s="134"/>
      <c r="ABR18" s="134"/>
      <c r="ABS18" s="131">
        <f t="shared" si="124"/>
        <v>57</v>
      </c>
      <c r="ABT18" s="327">
        <v>19</v>
      </c>
      <c r="ABU18" s="200">
        <v>7</v>
      </c>
      <c r="ABV18" s="200"/>
      <c r="ABW18" s="200"/>
      <c r="ABX18" s="200">
        <v>33</v>
      </c>
      <c r="ABY18" s="325"/>
      <c r="ABZ18" s="326"/>
      <c r="ACA18" s="134"/>
      <c r="ACB18" s="134"/>
      <c r="ACC18" s="131">
        <f t="shared" si="73"/>
        <v>59</v>
      </c>
      <c r="ACD18" s="327"/>
      <c r="ACE18" s="200">
        <v>18</v>
      </c>
      <c r="ACF18" s="200"/>
      <c r="ACG18" s="200"/>
      <c r="ACH18" s="200">
        <v>21</v>
      </c>
      <c r="ACI18" s="325"/>
      <c r="ACJ18" s="326"/>
      <c r="ACK18" s="134"/>
      <c r="ACL18" s="134"/>
      <c r="ACM18" s="131">
        <f t="shared" si="74"/>
        <v>39</v>
      </c>
      <c r="ACN18" s="156">
        <f t="shared" si="75"/>
        <v>0</v>
      </c>
      <c r="ACO18" s="157"/>
      <c r="ACP18" s="229">
        <f t="shared" si="100"/>
        <v>302</v>
      </c>
      <c r="ACQ18" s="229">
        <v>200</v>
      </c>
      <c r="ACR18" s="230">
        <f t="shared" si="101"/>
        <v>1.51</v>
      </c>
      <c r="ACS18" s="231">
        <f t="shared" si="76"/>
        <v>3084</v>
      </c>
      <c r="ACT18" s="207">
        <f t="shared" si="76"/>
        <v>2067</v>
      </c>
      <c r="ACU18" s="208">
        <f t="shared" si="102"/>
        <v>1.4920174165457185</v>
      </c>
      <c r="ACW18" s="163">
        <f t="shared" si="103"/>
        <v>1.8771461563924323</v>
      </c>
      <c r="ACX18" s="5">
        <v>1</v>
      </c>
    </row>
    <row r="19" spans="1:778" s="437" customFormat="1" x14ac:dyDescent="0.35">
      <c r="A19" s="407" t="s">
        <v>52</v>
      </c>
      <c r="B19" s="165" t="s">
        <v>91</v>
      </c>
      <c r="C19" s="408"/>
      <c r="D19" s="409"/>
      <c r="E19" s="409"/>
      <c r="F19" s="409"/>
      <c r="G19" s="409"/>
      <c r="H19" s="410">
        <v>87</v>
      </c>
      <c r="I19" s="411"/>
      <c r="J19" s="412"/>
      <c r="K19" s="58">
        <f t="shared" si="0"/>
        <v>87</v>
      </c>
      <c r="L19" s="358"/>
      <c r="M19" s="200"/>
      <c r="N19" s="200"/>
      <c r="O19" s="200"/>
      <c r="P19" s="200"/>
      <c r="Q19" s="325">
        <v>22</v>
      </c>
      <c r="R19" s="413"/>
      <c r="S19" s="130"/>
      <c r="T19" s="58">
        <f t="shared" si="1"/>
        <v>22</v>
      </c>
      <c r="U19" s="414"/>
      <c r="V19" s="415"/>
      <c r="W19" s="415"/>
      <c r="X19" s="415"/>
      <c r="Y19" s="415"/>
      <c r="Z19" s="416"/>
      <c r="AA19" s="417"/>
      <c r="AB19" s="418"/>
      <c r="AC19" s="67">
        <f t="shared" si="2"/>
        <v>0</v>
      </c>
      <c r="AD19" s="419"/>
      <c r="AE19" s="409"/>
      <c r="AF19" s="409"/>
      <c r="AG19" s="409"/>
      <c r="AH19" s="409"/>
      <c r="AI19" s="410">
        <f>32+38</f>
        <v>70</v>
      </c>
      <c r="AJ19" s="411"/>
      <c r="AK19" s="412"/>
      <c r="AL19" s="88">
        <f t="shared" si="3"/>
        <v>70</v>
      </c>
      <c r="AM19" s="358"/>
      <c r="AN19" s="200"/>
      <c r="AO19" s="200"/>
      <c r="AP19" s="200"/>
      <c r="AQ19" s="200"/>
      <c r="AR19" s="325">
        <v>37</v>
      </c>
      <c r="AS19" s="413"/>
      <c r="AT19" s="130"/>
      <c r="AU19" s="420">
        <f t="shared" si="4"/>
        <v>37</v>
      </c>
      <c r="AV19" s="190">
        <v>288</v>
      </c>
      <c r="AW19" s="191">
        <f t="shared" si="77"/>
        <v>216</v>
      </c>
      <c r="AX19" s="191">
        <v>200</v>
      </c>
      <c r="AY19" s="421">
        <f t="shared" si="5"/>
        <v>1.08</v>
      </c>
      <c r="AZ19" s="422"/>
      <c r="BA19" s="408"/>
      <c r="BB19" s="409"/>
      <c r="BC19" s="409"/>
      <c r="BD19" s="409"/>
      <c r="BE19" s="409"/>
      <c r="BF19" s="410">
        <f>32+42</f>
        <v>74</v>
      </c>
      <c r="BG19" s="411"/>
      <c r="BH19" s="412"/>
      <c r="BI19" s="86">
        <f t="shared" si="6"/>
        <v>74</v>
      </c>
      <c r="BJ19" s="423"/>
      <c r="BK19" s="409"/>
      <c r="BL19" s="409"/>
      <c r="BM19" s="409"/>
      <c r="BN19" s="409"/>
      <c r="BO19" s="410">
        <f>32+22+20+15</f>
        <v>89</v>
      </c>
      <c r="BP19" s="411"/>
      <c r="BQ19" s="412"/>
      <c r="BR19" s="58">
        <f t="shared" si="7"/>
        <v>89</v>
      </c>
      <c r="BS19" s="419"/>
      <c r="BT19" s="409"/>
      <c r="BU19" s="409"/>
      <c r="BV19" s="409"/>
      <c r="BW19" s="409"/>
      <c r="BX19" s="410">
        <f>32+8+27</f>
        <v>67</v>
      </c>
      <c r="BY19" s="411"/>
      <c r="BZ19" s="412"/>
      <c r="CA19" s="424">
        <f t="shared" si="105"/>
        <v>67</v>
      </c>
      <c r="CB19" s="419"/>
      <c r="CC19" s="409"/>
      <c r="CD19" s="409"/>
      <c r="CE19" s="409"/>
      <c r="CF19" s="409"/>
      <c r="CG19" s="410">
        <v>13</v>
      </c>
      <c r="CH19" s="411"/>
      <c r="CI19" s="412"/>
      <c r="CJ19" s="425">
        <f t="shared" si="106"/>
        <v>13</v>
      </c>
      <c r="CK19" s="426"/>
      <c r="CL19" s="427"/>
      <c r="CM19" s="427"/>
      <c r="CN19" s="427"/>
      <c r="CO19" s="427"/>
      <c r="CP19" s="428"/>
      <c r="CQ19" s="429"/>
      <c r="CR19" s="430"/>
      <c r="CS19" s="91">
        <f t="shared" si="78"/>
        <v>0</v>
      </c>
      <c r="CT19" s="431">
        <v>336</v>
      </c>
      <c r="CU19" s="195">
        <f t="shared" si="79"/>
        <v>243</v>
      </c>
      <c r="CV19" s="195">
        <v>200</v>
      </c>
      <c r="CW19" s="196">
        <f t="shared" si="8"/>
        <v>1.2150000000000001</v>
      </c>
      <c r="CX19" s="432"/>
      <c r="CY19" s="433"/>
      <c r="CZ19" s="427"/>
      <c r="DA19" s="427"/>
      <c r="DB19" s="427"/>
      <c r="DC19" s="427"/>
      <c r="DD19" s="428">
        <v>0</v>
      </c>
      <c r="DE19" s="429"/>
      <c r="DF19" s="430"/>
      <c r="DG19" s="58">
        <f t="shared" si="9"/>
        <v>0</v>
      </c>
      <c r="DH19" s="426"/>
      <c r="DI19" s="427"/>
      <c r="DJ19" s="427"/>
      <c r="DK19" s="427"/>
      <c r="DL19" s="427"/>
      <c r="DM19" s="428"/>
      <c r="DN19" s="429"/>
      <c r="DO19" s="430"/>
      <c r="DP19" s="58">
        <f t="shared" si="10"/>
        <v>0</v>
      </c>
      <c r="DQ19" s="426"/>
      <c r="DR19" s="427"/>
      <c r="DS19" s="427"/>
      <c r="DT19" s="427"/>
      <c r="DU19" s="427">
        <v>0</v>
      </c>
      <c r="DV19" s="428"/>
      <c r="DW19" s="429"/>
      <c r="DX19" s="430"/>
      <c r="DY19" s="58">
        <f t="shared" si="80"/>
        <v>0</v>
      </c>
      <c r="DZ19" s="426"/>
      <c r="EA19" s="427"/>
      <c r="EB19" s="427"/>
      <c r="EC19" s="427"/>
      <c r="ED19" s="427"/>
      <c r="EE19" s="428"/>
      <c r="EF19" s="429"/>
      <c r="EG19" s="430"/>
      <c r="EH19" s="96">
        <f t="shared" si="81"/>
        <v>0</v>
      </c>
      <c r="EI19" s="434"/>
      <c r="EJ19" s="427"/>
      <c r="EK19" s="427"/>
      <c r="EL19" s="427"/>
      <c r="EM19" s="427"/>
      <c r="EN19" s="428"/>
      <c r="EO19" s="429"/>
      <c r="EP19" s="430"/>
      <c r="EQ19" s="98">
        <f t="shared" si="82"/>
        <v>0</v>
      </c>
      <c r="ER19" s="435">
        <f>+DF19+DO19+DX19+EG19+EP19</f>
        <v>0</v>
      </c>
      <c r="ES19" s="197">
        <f t="shared" si="111"/>
        <v>0</v>
      </c>
      <c r="ET19" s="367">
        <v>0</v>
      </c>
      <c r="EU19" s="436">
        <v>0</v>
      </c>
      <c r="EV19" s="437">
        <v>0</v>
      </c>
      <c r="EW19" s="433"/>
      <c r="EX19" s="427"/>
      <c r="EY19" s="427"/>
      <c r="EZ19" s="427"/>
      <c r="FA19" s="427"/>
      <c r="FB19" s="428"/>
      <c r="FC19" s="429"/>
      <c r="FD19" s="430"/>
      <c r="FE19" s="58">
        <f t="shared" si="12"/>
        <v>0</v>
      </c>
      <c r="FF19" s="426"/>
      <c r="FG19" s="427"/>
      <c r="FH19" s="427"/>
      <c r="FI19" s="427"/>
      <c r="FJ19" s="427"/>
      <c r="FK19" s="428"/>
      <c r="FL19" s="429"/>
      <c r="FM19" s="430"/>
      <c r="FN19" s="58">
        <f t="shared" si="13"/>
        <v>0</v>
      </c>
      <c r="FO19" s="426"/>
      <c r="FP19" s="427"/>
      <c r="FQ19" s="427"/>
      <c r="FR19" s="427"/>
      <c r="FS19" s="427"/>
      <c r="FT19" s="428"/>
      <c r="FU19" s="429"/>
      <c r="FV19" s="430"/>
      <c r="FW19" s="58">
        <f t="shared" si="83"/>
        <v>0</v>
      </c>
      <c r="FX19" s="426"/>
      <c r="FY19" s="427"/>
      <c r="FZ19" s="427"/>
      <c r="GA19" s="427"/>
      <c r="GB19" s="427"/>
      <c r="GC19" s="428"/>
      <c r="GD19" s="429"/>
      <c r="GE19" s="430"/>
      <c r="GF19" s="58">
        <f t="shared" si="84"/>
        <v>0</v>
      </c>
      <c r="GG19" s="426"/>
      <c r="GH19" s="427"/>
      <c r="GI19" s="427"/>
      <c r="GJ19" s="427"/>
      <c r="GK19" s="427"/>
      <c r="GL19" s="428">
        <v>0</v>
      </c>
      <c r="GM19" s="429"/>
      <c r="GN19" s="430"/>
      <c r="GO19" s="58">
        <f t="shared" si="85"/>
        <v>0</v>
      </c>
      <c r="GP19" s="438">
        <f t="shared" ref="GP19" si="133">+FD19+FM19+FV19+GE19+GN19</f>
        <v>0</v>
      </c>
      <c r="GQ19" s="368">
        <f t="shared" ref="GQ19" si="134">+GO19+GF19+FW19+FN19+FE19</f>
        <v>0</v>
      </c>
      <c r="GR19" s="368">
        <v>0</v>
      </c>
      <c r="GS19" s="205">
        <v>0</v>
      </c>
      <c r="GT19" s="408"/>
      <c r="GU19" s="409"/>
      <c r="GV19" s="409"/>
      <c r="GW19" s="409"/>
      <c r="GX19" s="409"/>
      <c r="GY19" s="410"/>
      <c r="GZ19" s="411"/>
      <c r="HA19" s="412"/>
      <c r="HB19" s="412"/>
      <c r="HC19" s="58">
        <f t="shared" si="15"/>
        <v>0</v>
      </c>
      <c r="HD19" s="419"/>
      <c r="HE19" s="409"/>
      <c r="HF19" s="409"/>
      <c r="HG19" s="409"/>
      <c r="HH19" s="409"/>
      <c r="HI19" s="410"/>
      <c r="HJ19" s="411"/>
      <c r="HK19" s="412"/>
      <c r="HL19" s="412"/>
      <c r="HM19" s="58">
        <f t="shared" si="16"/>
        <v>0</v>
      </c>
      <c r="HN19" s="419"/>
      <c r="HO19" s="409"/>
      <c r="HP19" s="409"/>
      <c r="HQ19" s="409"/>
      <c r="HR19" s="409"/>
      <c r="HS19" s="410"/>
      <c r="HT19" s="411"/>
      <c r="HU19" s="412"/>
      <c r="HV19" s="412"/>
      <c r="HW19" s="58">
        <f t="shared" si="17"/>
        <v>0</v>
      </c>
      <c r="HX19" s="419"/>
      <c r="HY19" s="409"/>
      <c r="HZ19" s="409"/>
      <c r="IA19" s="409"/>
      <c r="IB19" s="409"/>
      <c r="IC19" s="410"/>
      <c r="ID19" s="411"/>
      <c r="IE19" s="412"/>
      <c r="IF19" s="412"/>
      <c r="IG19" s="88">
        <f t="shared" si="18"/>
        <v>0</v>
      </c>
      <c r="IH19" s="439"/>
      <c r="II19" s="440"/>
      <c r="IJ19" s="440"/>
      <c r="IK19" s="440"/>
      <c r="IL19" s="440"/>
      <c r="IM19" s="441"/>
      <c r="IN19" s="411"/>
      <c r="IO19" s="412"/>
      <c r="IP19" s="412"/>
      <c r="IQ19" s="58">
        <f t="shared" si="19"/>
        <v>0</v>
      </c>
      <c r="IR19" s="442"/>
      <c r="IS19" s="443"/>
      <c r="IT19" s="443"/>
      <c r="IU19" s="444"/>
      <c r="IV19" s="432"/>
      <c r="IW19" s="109">
        <f t="shared" si="87"/>
        <v>624</v>
      </c>
      <c r="IX19" s="110">
        <f t="shared" si="87"/>
        <v>459</v>
      </c>
      <c r="IY19" s="110">
        <f t="shared" si="87"/>
        <v>400</v>
      </c>
      <c r="IZ19" s="347">
        <f t="shared" si="20"/>
        <v>1.1475</v>
      </c>
      <c r="JB19" s="182" t="s">
        <v>60</v>
      </c>
      <c r="JC19" s="318"/>
      <c r="JD19" s="308"/>
      <c r="JE19" s="308"/>
      <c r="JF19" s="308"/>
      <c r="JG19" s="308"/>
      <c r="JH19" s="309">
        <v>75</v>
      </c>
      <c r="JI19" s="310"/>
      <c r="JJ19" s="57"/>
      <c r="JK19" s="57"/>
      <c r="JL19" s="58">
        <f t="shared" si="112"/>
        <v>75</v>
      </c>
      <c r="JM19" s="319"/>
      <c r="JN19" s="308"/>
      <c r="JO19" s="308"/>
      <c r="JP19" s="308"/>
      <c r="JQ19" s="308"/>
      <c r="JR19" s="309">
        <v>65</v>
      </c>
      <c r="JS19" s="310"/>
      <c r="JT19" s="57"/>
      <c r="JU19" s="57"/>
      <c r="JV19" s="58">
        <f t="shared" si="125"/>
        <v>65</v>
      </c>
      <c r="JW19" s="319"/>
      <c r="JX19" s="308"/>
      <c r="JY19" s="308"/>
      <c r="JZ19" s="308"/>
      <c r="KA19" s="308"/>
      <c r="KB19" s="309">
        <v>36</v>
      </c>
      <c r="KC19" s="310"/>
      <c r="KD19" s="57"/>
      <c r="KE19" s="57"/>
      <c r="KF19" s="58">
        <f t="shared" si="23"/>
        <v>36</v>
      </c>
      <c r="KG19" s="319"/>
      <c r="KH19" s="308"/>
      <c r="KI19" s="308"/>
      <c r="KJ19" s="308"/>
      <c r="KK19" s="308"/>
      <c r="KL19" s="309">
        <v>35</v>
      </c>
      <c r="KM19" s="310"/>
      <c r="KN19" s="57"/>
      <c r="KO19" s="57"/>
      <c r="KP19" s="88">
        <f t="shared" si="24"/>
        <v>35</v>
      </c>
      <c r="KQ19" s="338"/>
      <c r="KR19" s="339"/>
      <c r="KS19" s="339"/>
      <c r="KT19" s="339"/>
      <c r="KU19" s="339"/>
      <c r="KV19" s="341">
        <v>60</v>
      </c>
      <c r="KW19" s="56"/>
      <c r="KX19" s="57">
        <v>493</v>
      </c>
      <c r="KY19" s="57"/>
      <c r="KZ19" s="58">
        <f t="shared" si="25"/>
        <v>60</v>
      </c>
      <c r="LA19" s="81">
        <f t="shared" si="107"/>
        <v>493</v>
      </c>
      <c r="LB19" s="82">
        <f t="shared" si="26"/>
        <v>271</v>
      </c>
      <c r="LC19" s="348">
        <f>250-50</f>
        <v>200</v>
      </c>
      <c r="LD19" s="82">
        <f t="shared" si="88"/>
        <v>71</v>
      </c>
      <c r="LE19" s="192">
        <f t="shared" si="89"/>
        <v>1.355</v>
      </c>
      <c r="LF19" s="115"/>
      <c r="LG19" s="322" t="s">
        <v>60</v>
      </c>
      <c r="LH19" s="318"/>
      <c r="LI19" s="308"/>
      <c r="LJ19" s="308"/>
      <c r="LK19" s="308"/>
      <c r="LL19" s="308"/>
      <c r="LM19" s="309">
        <v>51</v>
      </c>
      <c r="LN19" s="310"/>
      <c r="LO19" s="57"/>
      <c r="LP19" s="57"/>
      <c r="LQ19" s="58">
        <f t="shared" si="113"/>
        <v>51</v>
      </c>
      <c r="LR19" s="319"/>
      <c r="LS19" s="308"/>
      <c r="LT19" s="308"/>
      <c r="LU19" s="308"/>
      <c r="LV19" s="308"/>
      <c r="LW19" s="309">
        <v>60</v>
      </c>
      <c r="LX19" s="310"/>
      <c r="LY19" s="57"/>
      <c r="LZ19" s="57"/>
      <c r="MA19" s="58">
        <f t="shared" si="126"/>
        <v>60</v>
      </c>
      <c r="MB19" s="319"/>
      <c r="MC19" s="308"/>
      <c r="MD19" s="308"/>
      <c r="ME19" s="308"/>
      <c r="MF19" s="308"/>
      <c r="MG19" s="309">
        <v>53</v>
      </c>
      <c r="MH19" s="310"/>
      <c r="MI19" s="57"/>
      <c r="MJ19" s="57"/>
      <c r="MK19" s="58">
        <f t="shared" si="29"/>
        <v>53</v>
      </c>
      <c r="ML19" s="319"/>
      <c r="MM19" s="308"/>
      <c r="MN19" s="308"/>
      <c r="MO19" s="308"/>
      <c r="MP19" s="308"/>
      <c r="MQ19" s="309">
        <v>7</v>
      </c>
      <c r="MR19" s="310"/>
      <c r="MS19" s="57"/>
      <c r="MT19" s="57"/>
      <c r="MU19" s="88">
        <f t="shared" si="30"/>
        <v>7</v>
      </c>
      <c r="MV19" s="338"/>
      <c r="MW19" s="339"/>
      <c r="MX19" s="339"/>
      <c r="MY19" s="339"/>
      <c r="MZ19" s="339"/>
      <c r="NA19" s="341">
        <v>100</v>
      </c>
      <c r="NB19" s="310"/>
      <c r="NC19" s="57">
        <v>438</v>
      </c>
      <c r="ND19" s="57"/>
      <c r="NE19" s="58">
        <f t="shared" si="31"/>
        <v>100</v>
      </c>
      <c r="NF19" s="117">
        <f t="shared" si="90"/>
        <v>438</v>
      </c>
      <c r="NG19" s="93">
        <f t="shared" si="32"/>
        <v>271</v>
      </c>
      <c r="NH19" s="349">
        <f>250-50</f>
        <v>200</v>
      </c>
      <c r="NI19" s="93">
        <f t="shared" si="91"/>
        <v>71</v>
      </c>
      <c r="NJ19" s="196">
        <f t="shared" si="108"/>
        <v>1.355</v>
      </c>
      <c r="NK19" s="119"/>
      <c r="NL19" s="322" t="s">
        <v>60</v>
      </c>
      <c r="NM19" s="318"/>
      <c r="NN19" s="308"/>
      <c r="NO19" s="308"/>
      <c r="NP19" s="308"/>
      <c r="NQ19" s="308"/>
      <c r="NR19" s="309">
        <v>6</v>
      </c>
      <c r="NS19" s="310"/>
      <c r="NT19" s="57"/>
      <c r="NU19" s="57"/>
      <c r="NV19" s="58">
        <f t="shared" si="114"/>
        <v>6</v>
      </c>
      <c r="NW19" s="319"/>
      <c r="NX19" s="308"/>
      <c r="NY19" s="308"/>
      <c r="NZ19" s="308">
        <v>30</v>
      </c>
      <c r="OA19" s="308"/>
      <c r="OB19" s="309">
        <v>35</v>
      </c>
      <c r="OC19" s="310"/>
      <c r="OD19" s="57"/>
      <c r="OE19" s="57"/>
      <c r="OF19" s="58">
        <f t="shared" si="127"/>
        <v>65</v>
      </c>
      <c r="OG19" s="319"/>
      <c r="OH19" s="308"/>
      <c r="OI19" s="308"/>
      <c r="OJ19" s="308">
        <v>6</v>
      </c>
      <c r="OK19" s="308"/>
      <c r="OL19" s="309">
        <v>39</v>
      </c>
      <c r="OM19" s="310"/>
      <c r="ON19" s="57"/>
      <c r="OO19" s="57"/>
      <c r="OP19" s="58">
        <f t="shared" si="35"/>
        <v>45</v>
      </c>
      <c r="OQ19" s="319"/>
      <c r="OR19" s="308"/>
      <c r="OS19" s="308"/>
      <c r="OT19" s="308"/>
      <c r="OU19" s="308"/>
      <c r="OV19" s="309">
        <v>39</v>
      </c>
      <c r="OW19" s="310"/>
      <c r="OX19" s="57"/>
      <c r="OY19" s="57"/>
      <c r="OZ19" s="88">
        <f t="shared" si="36"/>
        <v>39</v>
      </c>
      <c r="PA19" s="391"/>
      <c r="PB19" s="392"/>
      <c r="PC19" s="392"/>
      <c r="PD19" s="392"/>
      <c r="PE19" s="392"/>
      <c r="PF19" s="400"/>
      <c r="PG19" s="394"/>
      <c r="PH19" s="395"/>
      <c r="PI19" s="395"/>
      <c r="PJ19" s="396">
        <f t="shared" si="37"/>
        <v>0</v>
      </c>
      <c r="PK19" s="99">
        <f t="shared" si="38"/>
        <v>0</v>
      </c>
      <c r="PL19" s="100">
        <f t="shared" si="39"/>
        <v>155</v>
      </c>
      <c r="PM19" s="346">
        <f>250-50</f>
        <v>200</v>
      </c>
      <c r="PN19" s="100">
        <f t="shared" si="92"/>
        <v>-45</v>
      </c>
      <c r="PO19" s="198">
        <f t="shared" si="109"/>
        <v>0.77500000000000002</v>
      </c>
      <c r="PP19" s="119"/>
      <c r="PQ19" s="322" t="s">
        <v>60</v>
      </c>
      <c r="PR19" s="318"/>
      <c r="PS19" s="308"/>
      <c r="PT19" s="308"/>
      <c r="PU19" s="308"/>
      <c r="PV19" s="308"/>
      <c r="PW19" s="309">
        <v>56</v>
      </c>
      <c r="PX19" s="310"/>
      <c r="PY19" s="57"/>
      <c r="PZ19" s="57"/>
      <c r="QA19" s="58">
        <f t="shared" si="115"/>
        <v>56</v>
      </c>
      <c r="QB19" s="319"/>
      <c r="QC19" s="308"/>
      <c r="QD19" s="308"/>
      <c r="QE19" s="308"/>
      <c r="QF19" s="308"/>
      <c r="QG19" s="309">
        <v>43</v>
      </c>
      <c r="QH19" s="310"/>
      <c r="QI19" s="57"/>
      <c r="QJ19" s="57"/>
      <c r="QK19" s="58">
        <f t="shared" si="128"/>
        <v>43</v>
      </c>
      <c r="QL19" s="319"/>
      <c r="QM19" s="308"/>
      <c r="QN19" s="308"/>
      <c r="QO19" s="308"/>
      <c r="QP19" s="308"/>
      <c r="QQ19" s="309">
        <v>35</v>
      </c>
      <c r="QR19" s="310"/>
      <c r="QS19" s="57"/>
      <c r="QT19" s="57"/>
      <c r="QU19" s="58">
        <f t="shared" si="42"/>
        <v>35</v>
      </c>
      <c r="QV19" s="319"/>
      <c r="QW19" s="308"/>
      <c r="QX19" s="308"/>
      <c r="QY19" s="308"/>
      <c r="QZ19" s="308"/>
      <c r="RA19" s="309">
        <v>68</v>
      </c>
      <c r="RB19" s="310"/>
      <c r="RC19" s="57"/>
      <c r="RD19" s="57"/>
      <c r="RE19" s="88">
        <f t="shared" si="43"/>
        <v>68</v>
      </c>
      <c r="RF19" s="338"/>
      <c r="RG19" s="339"/>
      <c r="RH19" s="339"/>
      <c r="RI19" s="339"/>
      <c r="RJ19" s="339"/>
      <c r="RK19" s="341">
        <v>60</v>
      </c>
      <c r="RL19" s="310"/>
      <c r="RM19" s="57">
        <v>491</v>
      </c>
      <c r="RN19" s="57"/>
      <c r="RO19" s="58">
        <f t="shared" si="44"/>
        <v>60</v>
      </c>
      <c r="RP19" s="121">
        <f t="shared" si="93"/>
        <v>491</v>
      </c>
      <c r="RQ19" s="104">
        <f t="shared" si="45"/>
        <v>262</v>
      </c>
      <c r="RR19" s="350">
        <f>250-50</f>
        <v>200</v>
      </c>
      <c r="RS19" s="104">
        <f t="shared" si="94"/>
        <v>62</v>
      </c>
      <c r="RT19" s="205">
        <f t="shared" si="110"/>
        <v>1.31</v>
      </c>
      <c r="RU19" s="102"/>
      <c r="RV19" s="123">
        <f t="shared" si="95"/>
        <v>1422</v>
      </c>
      <c r="RW19" s="124">
        <f t="shared" si="95"/>
        <v>959</v>
      </c>
      <c r="RX19" s="124">
        <f t="shared" si="95"/>
        <v>800</v>
      </c>
      <c r="RY19" s="125">
        <f t="shared" si="96"/>
        <v>1.19875</v>
      </c>
      <c r="SA19" s="165" t="s">
        <v>60</v>
      </c>
      <c r="SB19" s="324"/>
      <c r="SC19" s="200"/>
      <c r="SD19" s="200"/>
      <c r="SE19" s="200"/>
      <c r="SF19" s="200"/>
      <c r="SG19" s="325">
        <v>27</v>
      </c>
      <c r="SH19" s="326"/>
      <c r="SI19" s="134"/>
      <c r="SJ19" s="134"/>
      <c r="SK19" s="131">
        <f t="shared" si="116"/>
        <v>27</v>
      </c>
      <c r="SL19" s="327"/>
      <c r="SM19" s="200"/>
      <c r="SN19" s="200"/>
      <c r="SO19" s="200"/>
      <c r="SP19" s="200"/>
      <c r="SQ19" s="325">
        <v>46</v>
      </c>
      <c r="SR19" s="326"/>
      <c r="SS19" s="134"/>
      <c r="ST19" s="134"/>
      <c r="SU19" s="131">
        <f t="shared" si="129"/>
        <v>46</v>
      </c>
      <c r="SV19" s="327"/>
      <c r="SW19" s="200"/>
      <c r="SX19" s="200"/>
      <c r="SY19" s="200"/>
      <c r="SZ19" s="200"/>
      <c r="TA19" s="325">
        <v>38</v>
      </c>
      <c r="TB19" s="326"/>
      <c r="TC19" s="134"/>
      <c r="TD19" s="134"/>
      <c r="TE19" s="131">
        <f t="shared" si="117"/>
        <v>38</v>
      </c>
      <c r="TF19" s="327"/>
      <c r="TG19" s="200"/>
      <c r="TH19" s="200"/>
      <c r="TI19" s="200"/>
      <c r="TJ19" s="200"/>
      <c r="TK19" s="325">
        <v>38</v>
      </c>
      <c r="TL19" s="326"/>
      <c r="TM19" s="134"/>
      <c r="TN19" s="134"/>
      <c r="TO19" s="131">
        <f t="shared" si="49"/>
        <v>38</v>
      </c>
      <c r="TP19" s="327"/>
      <c r="TQ19" s="200"/>
      <c r="TR19" s="200"/>
      <c r="TS19" s="200"/>
      <c r="TT19" s="200"/>
      <c r="TU19" s="325"/>
      <c r="TV19" s="326"/>
      <c r="TW19" s="134"/>
      <c r="TX19" s="134"/>
      <c r="TY19" s="136">
        <f t="shared" si="50"/>
        <v>0</v>
      </c>
      <c r="TZ19" s="209">
        <f t="shared" si="97"/>
        <v>0</v>
      </c>
      <c r="UA19" s="210">
        <f t="shared" si="97"/>
        <v>149</v>
      </c>
      <c r="UB19" s="210">
        <f>250-50</f>
        <v>200</v>
      </c>
      <c r="UC19" s="211">
        <f t="shared" si="51"/>
        <v>0.745</v>
      </c>
      <c r="UD19" s="140"/>
      <c r="UE19" s="220" t="s">
        <v>60</v>
      </c>
      <c r="UF19" s="324"/>
      <c r="UG19" s="200"/>
      <c r="UH19" s="200"/>
      <c r="UI19" s="200"/>
      <c r="UJ19" s="200"/>
      <c r="UK19" s="325">
        <v>49</v>
      </c>
      <c r="UL19" s="326"/>
      <c r="UM19" s="134"/>
      <c r="UN19" s="134"/>
      <c r="UO19" s="131">
        <f t="shared" si="118"/>
        <v>49</v>
      </c>
      <c r="UP19" s="327"/>
      <c r="UQ19" s="200"/>
      <c r="UR19" s="200"/>
      <c r="US19" s="200"/>
      <c r="UT19" s="200"/>
      <c r="UU19" s="325">
        <v>60</v>
      </c>
      <c r="UV19" s="326"/>
      <c r="UW19" s="134"/>
      <c r="UX19" s="134"/>
      <c r="UY19" s="131">
        <f t="shared" si="130"/>
        <v>60</v>
      </c>
      <c r="UZ19" s="327"/>
      <c r="VA19" s="200"/>
      <c r="VB19" s="200"/>
      <c r="VC19" s="200"/>
      <c r="VD19" s="200"/>
      <c r="VE19" s="325">
        <v>38</v>
      </c>
      <c r="VF19" s="326"/>
      <c r="VG19" s="134"/>
      <c r="VH19" s="134"/>
      <c r="VI19" s="131">
        <f t="shared" si="119"/>
        <v>38</v>
      </c>
      <c r="VJ19" s="327"/>
      <c r="VK19" s="200"/>
      <c r="VL19" s="200"/>
      <c r="VM19" s="200"/>
      <c r="VN19" s="200"/>
      <c r="VO19" s="325">
        <v>17</v>
      </c>
      <c r="VP19" s="326"/>
      <c r="VQ19" s="134"/>
      <c r="VR19" s="134"/>
      <c r="VS19" s="131">
        <f t="shared" si="55"/>
        <v>17</v>
      </c>
      <c r="VT19" s="327"/>
      <c r="VU19" s="200"/>
      <c r="VV19" s="200"/>
      <c r="VW19" s="200"/>
      <c r="VX19" s="200"/>
      <c r="VY19" s="325">
        <v>25</v>
      </c>
      <c r="VZ19" s="326"/>
      <c r="WA19" s="134"/>
      <c r="WB19" s="134"/>
      <c r="WC19" s="131">
        <f t="shared" si="56"/>
        <v>25</v>
      </c>
      <c r="WD19" s="216">
        <f t="shared" si="98"/>
        <v>0</v>
      </c>
      <c r="WE19" s="217">
        <f t="shared" si="98"/>
        <v>189</v>
      </c>
      <c r="WF19" s="217">
        <v>250</v>
      </c>
      <c r="WG19" s="218">
        <f t="shared" si="57"/>
        <v>0.75600000000000001</v>
      </c>
      <c r="WH19" s="146"/>
      <c r="WI19" s="220" t="s">
        <v>60</v>
      </c>
      <c r="WJ19" s="324"/>
      <c r="WK19" s="200"/>
      <c r="WL19" s="200"/>
      <c r="WM19" s="200"/>
      <c r="WN19" s="200"/>
      <c r="WO19" s="325">
        <v>7</v>
      </c>
      <c r="WP19" s="326"/>
      <c r="WQ19" s="134"/>
      <c r="WR19" s="134"/>
      <c r="WS19" s="131">
        <f t="shared" si="58"/>
        <v>7</v>
      </c>
      <c r="WT19" s="327"/>
      <c r="WU19" s="200"/>
      <c r="WV19" s="200"/>
      <c r="WW19" s="200"/>
      <c r="WX19" s="200"/>
      <c r="WY19" s="325">
        <v>15</v>
      </c>
      <c r="WZ19" s="326"/>
      <c r="XA19" s="134"/>
      <c r="XB19" s="134"/>
      <c r="XC19" s="131">
        <f t="shared" si="131"/>
        <v>15</v>
      </c>
      <c r="XD19" s="327"/>
      <c r="XE19" s="200"/>
      <c r="XF19" s="200"/>
      <c r="XG19" s="200"/>
      <c r="XH19" s="200"/>
      <c r="XI19" s="325">
        <v>46</v>
      </c>
      <c r="XJ19" s="326"/>
      <c r="XK19" s="134"/>
      <c r="XL19" s="134"/>
      <c r="XM19" s="131">
        <f t="shared" si="120"/>
        <v>46</v>
      </c>
      <c r="XN19" s="327"/>
      <c r="XO19" s="200"/>
      <c r="XP19" s="200"/>
      <c r="XQ19" s="200"/>
      <c r="XR19" s="200"/>
      <c r="XS19" s="325">
        <v>40</v>
      </c>
      <c r="XT19" s="326"/>
      <c r="XU19" s="134"/>
      <c r="XV19" s="134"/>
      <c r="XW19" s="131">
        <f t="shared" si="61"/>
        <v>40</v>
      </c>
      <c r="XX19" s="327"/>
      <c r="XY19" s="200"/>
      <c r="XZ19" s="200"/>
      <c r="YA19" s="200"/>
      <c r="YB19" s="200"/>
      <c r="YC19" s="325">
        <v>18</v>
      </c>
      <c r="YD19" s="326"/>
      <c r="YE19" s="134"/>
      <c r="YF19" s="134"/>
      <c r="YG19" s="131">
        <f t="shared" si="62"/>
        <v>18</v>
      </c>
      <c r="YH19" s="221">
        <f t="shared" si="99"/>
        <v>0</v>
      </c>
      <c r="YI19" s="148">
        <f t="shared" si="99"/>
        <v>126</v>
      </c>
      <c r="YJ19" s="222">
        <v>250</v>
      </c>
      <c r="YK19" s="223">
        <f t="shared" si="63"/>
        <v>0.504</v>
      </c>
      <c r="YL19" s="150"/>
      <c r="YM19" s="328"/>
      <c r="YN19" s="200"/>
      <c r="YO19" s="200"/>
      <c r="YP19" s="200"/>
      <c r="YQ19" s="200"/>
      <c r="YR19" s="325">
        <v>35</v>
      </c>
      <c r="YS19" s="326"/>
      <c r="YT19" s="134"/>
      <c r="YU19" s="134"/>
      <c r="YV19" s="131">
        <f t="shared" si="121"/>
        <v>35</v>
      </c>
      <c r="YW19" s="327"/>
      <c r="YX19" s="200"/>
      <c r="YY19" s="200"/>
      <c r="YZ19" s="200"/>
      <c r="ZA19" s="200"/>
      <c r="ZB19" s="325">
        <v>31</v>
      </c>
      <c r="ZC19" s="326"/>
      <c r="ZD19" s="134"/>
      <c r="ZE19" s="134"/>
      <c r="ZF19" s="131">
        <f t="shared" si="132"/>
        <v>31</v>
      </c>
      <c r="ZG19" s="327"/>
      <c r="ZH19" s="200"/>
      <c r="ZI19" s="200"/>
      <c r="ZJ19" s="200"/>
      <c r="ZK19" s="200"/>
      <c r="ZL19" s="325">
        <v>35</v>
      </c>
      <c r="ZM19" s="326"/>
      <c r="ZN19" s="134"/>
      <c r="ZO19" s="134"/>
      <c r="ZP19" s="131">
        <f t="shared" si="122"/>
        <v>35</v>
      </c>
      <c r="ZQ19" s="327"/>
      <c r="ZR19" s="200"/>
      <c r="ZS19" s="200"/>
      <c r="ZT19" s="200"/>
      <c r="ZU19" s="200"/>
      <c r="ZV19" s="325">
        <v>30</v>
      </c>
      <c r="ZW19" s="326"/>
      <c r="ZX19" s="134"/>
      <c r="ZY19" s="134"/>
      <c r="ZZ19" s="131">
        <f t="shared" si="67"/>
        <v>30</v>
      </c>
      <c r="AAA19" s="327"/>
      <c r="AAB19" s="200"/>
      <c r="AAC19" s="200"/>
      <c r="AAD19" s="200"/>
      <c r="AAE19" s="200"/>
      <c r="AAF19" s="325">
        <v>33</v>
      </c>
      <c r="AAG19" s="326"/>
      <c r="AAH19" s="134"/>
      <c r="AAI19" s="134"/>
      <c r="AAJ19" s="131">
        <f t="shared" si="68"/>
        <v>33</v>
      </c>
      <c r="AAK19" s="226">
        <f t="shared" si="69"/>
        <v>164</v>
      </c>
      <c r="AAL19" s="226">
        <v>250</v>
      </c>
      <c r="AAM19" s="227">
        <f t="shared" si="70"/>
        <v>0.65600000000000003</v>
      </c>
      <c r="AAN19" s="329" t="s">
        <v>60</v>
      </c>
      <c r="AAO19" s="324"/>
      <c r="AAP19" s="200"/>
      <c r="AAQ19" s="200"/>
      <c r="AAR19" s="200"/>
      <c r="AAS19" s="200"/>
      <c r="AAT19" s="325"/>
      <c r="AAU19" s="326"/>
      <c r="AAV19" s="134"/>
      <c r="AAW19" s="134"/>
      <c r="AAX19" s="155"/>
      <c r="AAY19" s="131">
        <f t="shared" si="123"/>
        <v>0</v>
      </c>
      <c r="AAZ19" s="327"/>
      <c r="ABA19" s="200"/>
      <c r="ABB19" s="200"/>
      <c r="ABC19" s="200"/>
      <c r="ABD19" s="200"/>
      <c r="ABE19" s="325">
        <v>79</v>
      </c>
      <c r="ABF19" s="326"/>
      <c r="ABG19" s="134"/>
      <c r="ABH19" s="134"/>
      <c r="ABI19" s="131">
        <f t="shared" si="71"/>
        <v>79</v>
      </c>
      <c r="ABJ19" s="327"/>
      <c r="ABK19" s="200"/>
      <c r="ABL19" s="200"/>
      <c r="ABM19" s="200"/>
      <c r="ABN19" s="200"/>
      <c r="ABO19" s="325">
        <v>51</v>
      </c>
      <c r="ABP19" s="326"/>
      <c r="ABQ19" s="134"/>
      <c r="ABR19" s="134"/>
      <c r="ABS19" s="131">
        <f t="shared" si="124"/>
        <v>51</v>
      </c>
      <c r="ABT19" s="327"/>
      <c r="ABU19" s="200"/>
      <c r="ABV19" s="200"/>
      <c r="ABW19" s="200"/>
      <c r="ABX19" s="200"/>
      <c r="ABY19" s="325">
        <v>55</v>
      </c>
      <c r="ABZ19" s="326"/>
      <c r="ACA19" s="134"/>
      <c r="ACB19" s="134"/>
      <c r="ACC19" s="131">
        <f t="shared" si="73"/>
        <v>55</v>
      </c>
      <c r="ACD19" s="327"/>
      <c r="ACE19" s="200"/>
      <c r="ACF19" s="200"/>
      <c r="ACG19" s="200"/>
      <c r="ACH19" s="200"/>
      <c r="ACI19" s="325">
        <v>19</v>
      </c>
      <c r="ACJ19" s="326"/>
      <c r="ACK19" s="134"/>
      <c r="ACL19" s="134"/>
      <c r="ACM19" s="131">
        <f t="shared" si="74"/>
        <v>19</v>
      </c>
      <c r="ACN19" s="156">
        <f t="shared" si="75"/>
        <v>0</v>
      </c>
      <c r="ACO19" s="157"/>
      <c r="ACP19" s="229">
        <f t="shared" si="100"/>
        <v>204</v>
      </c>
      <c r="ACQ19" s="229">
        <v>200</v>
      </c>
      <c r="ACR19" s="230">
        <f t="shared" si="101"/>
        <v>1.02</v>
      </c>
      <c r="ACS19" s="231">
        <f t="shared" si="76"/>
        <v>832</v>
      </c>
      <c r="ACT19" s="207">
        <f t="shared" si="76"/>
        <v>1150</v>
      </c>
      <c r="ACU19" s="208">
        <f t="shared" si="102"/>
        <v>0.72347826086956524</v>
      </c>
      <c r="ACW19" s="163">
        <f t="shared" si="103"/>
        <v>1.0232427536231883</v>
      </c>
      <c r="ACX19" s="5">
        <v>1</v>
      </c>
    </row>
    <row r="20" spans="1:778" s="102" customFormat="1" x14ac:dyDescent="0.35">
      <c r="A20" s="51" t="s">
        <v>52</v>
      </c>
      <c r="B20" s="165" t="s">
        <v>91</v>
      </c>
      <c r="C20" s="307"/>
      <c r="D20" s="308"/>
      <c r="E20" s="308"/>
      <c r="F20" s="308"/>
      <c r="G20" s="308"/>
      <c r="H20" s="340">
        <v>72</v>
      </c>
      <c r="I20" s="310"/>
      <c r="J20" s="57"/>
      <c r="K20" s="58">
        <f t="shared" si="0"/>
        <v>72</v>
      </c>
      <c r="L20" s="338"/>
      <c r="M20" s="339"/>
      <c r="N20" s="339"/>
      <c r="O20" s="339"/>
      <c r="P20" s="339"/>
      <c r="Q20" s="340">
        <v>52</v>
      </c>
      <c r="R20" s="413"/>
      <c r="S20" s="130"/>
      <c r="T20" s="58">
        <f t="shared" si="1"/>
        <v>52</v>
      </c>
      <c r="U20" s="314"/>
      <c r="V20" s="315"/>
      <c r="W20" s="315"/>
      <c r="X20" s="315"/>
      <c r="Y20" s="315"/>
      <c r="Z20" s="316"/>
      <c r="AA20" s="317"/>
      <c r="AB20" s="66"/>
      <c r="AC20" s="67">
        <f t="shared" si="2"/>
        <v>0</v>
      </c>
      <c r="AD20" s="319"/>
      <c r="AE20" s="308"/>
      <c r="AF20" s="308"/>
      <c r="AG20" s="308"/>
      <c r="AH20" s="308"/>
      <c r="AI20" s="309">
        <f>31+31+29</f>
        <v>91</v>
      </c>
      <c r="AJ20" s="310"/>
      <c r="AK20" s="57"/>
      <c r="AL20" s="88">
        <f t="shared" si="3"/>
        <v>91</v>
      </c>
      <c r="AM20" s="319"/>
      <c r="AN20" s="308"/>
      <c r="AO20" s="308"/>
      <c r="AP20" s="308"/>
      <c r="AQ20" s="308"/>
      <c r="AR20" s="377">
        <f>31+30+32+8</f>
        <v>101</v>
      </c>
      <c r="AS20" s="310"/>
      <c r="AT20" s="57"/>
      <c r="AU20" s="58">
        <f t="shared" si="4"/>
        <v>101</v>
      </c>
      <c r="AV20" s="81">
        <v>316</v>
      </c>
      <c r="AW20" s="82">
        <f t="shared" si="77"/>
        <v>316</v>
      </c>
      <c r="AX20" s="82">
        <v>200</v>
      </c>
      <c r="AY20" s="172">
        <f t="shared" si="5"/>
        <v>1.58</v>
      </c>
      <c r="AZ20" s="84"/>
      <c r="BA20" s="307"/>
      <c r="BB20" s="308"/>
      <c r="BC20" s="308"/>
      <c r="BD20" s="308"/>
      <c r="BE20" s="308"/>
      <c r="BF20" s="340">
        <f>25+3</f>
        <v>28</v>
      </c>
      <c r="BG20" s="310"/>
      <c r="BH20" s="57"/>
      <c r="BI20" s="86">
        <f t="shared" si="6"/>
        <v>28</v>
      </c>
      <c r="BJ20" s="318"/>
      <c r="BK20" s="308"/>
      <c r="BL20" s="308"/>
      <c r="BM20" s="308"/>
      <c r="BN20" s="308">
        <f>8+23+32+31+8</f>
        <v>102</v>
      </c>
      <c r="BO20" s="340"/>
      <c r="BP20" s="310"/>
      <c r="BQ20" s="57"/>
      <c r="BR20" s="58">
        <f t="shared" si="7"/>
        <v>102</v>
      </c>
      <c r="BS20" s="319"/>
      <c r="BT20" s="308"/>
      <c r="BU20" s="308"/>
      <c r="BV20" s="308"/>
      <c r="BW20" s="308"/>
      <c r="BX20" s="309">
        <f>30+26+5+32+5</f>
        <v>98</v>
      </c>
      <c r="BY20" s="310"/>
      <c r="BZ20" s="57"/>
      <c r="CA20" s="58">
        <f t="shared" si="105"/>
        <v>98</v>
      </c>
      <c r="CB20" s="319"/>
      <c r="CC20" s="308"/>
      <c r="CD20" s="308"/>
      <c r="CE20" s="308"/>
      <c r="CF20" s="308"/>
      <c r="CG20" s="309">
        <f>8+23+20+11+10</f>
        <v>72</v>
      </c>
      <c r="CH20" s="310"/>
      <c r="CI20" s="57"/>
      <c r="CJ20" s="88">
        <f t="shared" si="106"/>
        <v>72</v>
      </c>
      <c r="CK20" s="445"/>
      <c r="CL20" s="446"/>
      <c r="CM20" s="446"/>
      <c r="CN20" s="446"/>
      <c r="CO20" s="446"/>
      <c r="CP20" s="447"/>
      <c r="CQ20" s="448"/>
      <c r="CR20" s="449"/>
      <c r="CS20" s="91">
        <f t="shared" si="78"/>
        <v>0</v>
      </c>
      <c r="CT20" s="92">
        <v>290</v>
      </c>
      <c r="CU20" s="93">
        <f t="shared" si="79"/>
        <v>300</v>
      </c>
      <c r="CV20" s="93">
        <v>200</v>
      </c>
      <c r="CW20" s="175">
        <f t="shared" si="8"/>
        <v>1.5</v>
      </c>
      <c r="CX20" s="95"/>
      <c r="CY20" s="307"/>
      <c r="CZ20" s="308"/>
      <c r="DA20" s="308"/>
      <c r="DB20" s="308"/>
      <c r="DC20" s="308"/>
      <c r="DD20" s="340">
        <v>55</v>
      </c>
      <c r="DE20" s="310"/>
      <c r="DF20" s="57"/>
      <c r="DG20" s="58">
        <f t="shared" si="9"/>
        <v>55</v>
      </c>
      <c r="DH20" s="319"/>
      <c r="DI20" s="308"/>
      <c r="DJ20" s="308"/>
      <c r="DK20" s="308"/>
      <c r="DL20" s="308"/>
      <c r="DM20" s="340">
        <v>36</v>
      </c>
      <c r="DN20" s="310"/>
      <c r="DO20" s="57"/>
      <c r="DP20" s="58">
        <f t="shared" si="10"/>
        <v>36</v>
      </c>
      <c r="DQ20" s="319"/>
      <c r="DR20" s="308"/>
      <c r="DS20" s="308"/>
      <c r="DT20" s="308"/>
      <c r="DU20" s="308"/>
      <c r="DV20" s="309">
        <v>82</v>
      </c>
      <c r="DW20" s="310"/>
      <c r="DX20" s="57"/>
      <c r="DY20" s="58">
        <f t="shared" si="80"/>
        <v>82</v>
      </c>
      <c r="DZ20" s="319"/>
      <c r="EA20" s="308"/>
      <c r="EB20" s="308"/>
      <c r="EC20" s="308"/>
      <c r="ED20" s="308"/>
      <c r="EE20" s="309">
        <f>29+8</f>
        <v>37</v>
      </c>
      <c r="EF20" s="310"/>
      <c r="EG20" s="57"/>
      <c r="EH20" s="96">
        <f t="shared" si="81"/>
        <v>37</v>
      </c>
      <c r="EI20" s="379"/>
      <c r="EJ20" s="308"/>
      <c r="EK20" s="308"/>
      <c r="EL20" s="308"/>
      <c r="EM20" s="308"/>
      <c r="EN20" s="377">
        <v>35</v>
      </c>
      <c r="EO20" s="310"/>
      <c r="EP20" s="57"/>
      <c r="EQ20" s="98">
        <f t="shared" si="82"/>
        <v>35</v>
      </c>
      <c r="ER20" s="99">
        <v>254</v>
      </c>
      <c r="ES20" s="100">
        <f t="shared" si="111"/>
        <v>245</v>
      </c>
      <c r="ET20" s="346">
        <v>250</v>
      </c>
      <c r="EU20" s="177">
        <f t="shared" si="11"/>
        <v>0.98</v>
      </c>
      <c r="EW20" s="307"/>
      <c r="EX20" s="308"/>
      <c r="EY20" s="308"/>
      <c r="EZ20" s="308"/>
      <c r="FA20" s="308"/>
      <c r="FB20" s="340">
        <v>48</v>
      </c>
      <c r="FC20" s="310"/>
      <c r="FD20" s="57"/>
      <c r="FE20" s="58">
        <f t="shared" si="12"/>
        <v>48</v>
      </c>
      <c r="FF20" s="319"/>
      <c r="FG20" s="308"/>
      <c r="FH20" s="308"/>
      <c r="FI20" s="308"/>
      <c r="FJ20" s="308"/>
      <c r="FK20" s="340">
        <v>44</v>
      </c>
      <c r="FL20" s="310"/>
      <c r="FM20" s="57"/>
      <c r="FN20" s="58">
        <f t="shared" si="13"/>
        <v>44</v>
      </c>
      <c r="FO20" s="319"/>
      <c r="FP20" s="308"/>
      <c r="FQ20" s="308"/>
      <c r="FR20" s="308"/>
      <c r="FS20" s="308"/>
      <c r="FT20" s="309">
        <v>70</v>
      </c>
      <c r="FU20" s="310"/>
      <c r="FV20" s="57"/>
      <c r="FW20" s="58">
        <f t="shared" si="83"/>
        <v>70</v>
      </c>
      <c r="FX20" s="319"/>
      <c r="FY20" s="308"/>
      <c r="FZ20" s="308"/>
      <c r="GA20" s="308"/>
      <c r="GB20" s="308"/>
      <c r="GC20" s="309">
        <v>60</v>
      </c>
      <c r="GD20" s="310"/>
      <c r="GE20" s="57"/>
      <c r="GF20" s="58">
        <f t="shared" si="84"/>
        <v>60</v>
      </c>
      <c r="GG20" s="450"/>
      <c r="GH20" s="451"/>
      <c r="GI20" s="451"/>
      <c r="GJ20" s="451"/>
      <c r="GK20" s="451"/>
      <c r="GL20" s="452">
        <v>0</v>
      </c>
      <c r="GM20" s="453"/>
      <c r="GN20" s="454"/>
      <c r="GO20" s="58">
        <f t="shared" si="85"/>
        <v>0</v>
      </c>
      <c r="GP20" s="103">
        <v>245</v>
      </c>
      <c r="GQ20" s="104">
        <f>+FE20+FN20+FW20+GF20+GO20</f>
        <v>222</v>
      </c>
      <c r="GR20" s="104">
        <v>200</v>
      </c>
      <c r="GS20" s="178">
        <f t="shared" si="14"/>
        <v>1.1100000000000001</v>
      </c>
      <c r="GT20" s="307"/>
      <c r="GU20" s="308"/>
      <c r="GV20" s="308"/>
      <c r="GW20" s="308"/>
      <c r="GX20" s="308"/>
      <c r="GY20" s="340"/>
      <c r="GZ20" s="310"/>
      <c r="HA20" s="57"/>
      <c r="HB20" s="57"/>
      <c r="HC20" s="58">
        <f t="shared" si="15"/>
        <v>0</v>
      </c>
      <c r="HD20" s="319"/>
      <c r="HE20" s="308"/>
      <c r="HF20" s="308"/>
      <c r="HG20" s="308"/>
      <c r="HH20" s="308"/>
      <c r="HI20" s="340"/>
      <c r="HJ20" s="310"/>
      <c r="HK20" s="57"/>
      <c r="HL20" s="57"/>
      <c r="HM20" s="58">
        <f t="shared" si="16"/>
        <v>0</v>
      </c>
      <c r="HN20" s="319"/>
      <c r="HO20" s="308"/>
      <c r="HP20" s="308"/>
      <c r="HQ20" s="308"/>
      <c r="HR20" s="308"/>
      <c r="HS20" s="309"/>
      <c r="HT20" s="310"/>
      <c r="HU20" s="57"/>
      <c r="HV20" s="57"/>
      <c r="HW20" s="58">
        <f t="shared" si="17"/>
        <v>0</v>
      </c>
      <c r="HX20" s="319"/>
      <c r="HY20" s="308"/>
      <c r="HZ20" s="308"/>
      <c r="IA20" s="308"/>
      <c r="IB20" s="308"/>
      <c r="IC20" s="309"/>
      <c r="ID20" s="310"/>
      <c r="IE20" s="57"/>
      <c r="IF20" s="57"/>
      <c r="IG20" s="88">
        <f t="shared" si="18"/>
        <v>0</v>
      </c>
      <c r="IH20" s="319"/>
      <c r="II20" s="308"/>
      <c r="IJ20" s="308"/>
      <c r="IK20" s="308"/>
      <c r="IL20" s="308"/>
      <c r="IM20" s="377"/>
      <c r="IN20" s="310"/>
      <c r="IO20" s="57"/>
      <c r="IP20" s="57"/>
      <c r="IQ20" s="58">
        <f t="shared" si="19"/>
        <v>0</v>
      </c>
      <c r="IR20" s="106"/>
      <c r="IS20" s="107"/>
      <c r="IT20" s="107"/>
      <c r="IU20" s="179"/>
      <c r="IV20" s="95"/>
      <c r="IW20" s="109">
        <f t="shared" si="87"/>
        <v>1105</v>
      </c>
      <c r="IX20" s="110">
        <f t="shared" si="87"/>
        <v>1083</v>
      </c>
      <c r="IY20" s="110">
        <f t="shared" si="87"/>
        <v>850</v>
      </c>
      <c r="IZ20" s="347">
        <f t="shared" si="20"/>
        <v>1.2741176470588236</v>
      </c>
      <c r="JB20" s="182" t="s">
        <v>61</v>
      </c>
      <c r="JC20" s="318"/>
      <c r="JD20" s="308"/>
      <c r="JE20" s="308"/>
      <c r="JF20" s="308"/>
      <c r="JG20" s="308"/>
      <c r="JH20" s="340">
        <v>55</v>
      </c>
      <c r="JI20" s="310"/>
      <c r="JJ20" s="57"/>
      <c r="JK20" s="57"/>
      <c r="JL20" s="58">
        <f t="shared" si="112"/>
        <v>55</v>
      </c>
      <c r="JM20" s="319"/>
      <c r="JN20" s="308"/>
      <c r="JO20" s="308"/>
      <c r="JP20" s="308"/>
      <c r="JQ20" s="308"/>
      <c r="JR20" s="340">
        <v>27</v>
      </c>
      <c r="JS20" s="310"/>
      <c r="JT20" s="57"/>
      <c r="JU20" s="57"/>
      <c r="JV20" s="58">
        <f t="shared" si="125"/>
        <v>27</v>
      </c>
      <c r="JW20" s="319"/>
      <c r="JX20" s="308"/>
      <c r="JY20" s="308"/>
      <c r="JZ20" s="308"/>
      <c r="KA20" s="308"/>
      <c r="KB20" s="309">
        <v>61</v>
      </c>
      <c r="KC20" s="310"/>
      <c r="KD20" s="57"/>
      <c r="KE20" s="57"/>
      <c r="KF20" s="58">
        <f t="shared" si="23"/>
        <v>61</v>
      </c>
      <c r="KG20" s="319"/>
      <c r="KH20" s="308"/>
      <c r="KI20" s="308"/>
      <c r="KJ20" s="308"/>
      <c r="KK20" s="308"/>
      <c r="KL20" s="309">
        <v>83</v>
      </c>
      <c r="KM20" s="310"/>
      <c r="KN20" s="57"/>
      <c r="KO20" s="57"/>
      <c r="KP20" s="88">
        <f t="shared" si="24"/>
        <v>83</v>
      </c>
      <c r="KQ20" s="319"/>
      <c r="KR20" s="308"/>
      <c r="KS20" s="308"/>
      <c r="KT20" s="308"/>
      <c r="KU20" s="308"/>
      <c r="KV20" s="377">
        <v>66</v>
      </c>
      <c r="KW20" s="56"/>
      <c r="KX20" s="57">
        <v>291</v>
      </c>
      <c r="KY20" s="57"/>
      <c r="KZ20" s="58">
        <f t="shared" si="25"/>
        <v>66</v>
      </c>
      <c r="LA20" s="81">
        <f t="shared" si="107"/>
        <v>291</v>
      </c>
      <c r="LB20" s="82">
        <f t="shared" si="26"/>
        <v>292</v>
      </c>
      <c r="LC20" s="348">
        <v>250</v>
      </c>
      <c r="LD20" s="82">
        <f t="shared" si="88"/>
        <v>42</v>
      </c>
      <c r="LE20" s="192">
        <f t="shared" si="89"/>
        <v>1.1679999999999999</v>
      </c>
      <c r="LF20" s="115"/>
      <c r="LG20" s="322" t="s">
        <v>61</v>
      </c>
      <c r="LH20" s="318"/>
      <c r="LI20" s="308"/>
      <c r="LJ20" s="308"/>
      <c r="LK20" s="308"/>
      <c r="LL20" s="308"/>
      <c r="LM20" s="340">
        <v>120</v>
      </c>
      <c r="LN20" s="310"/>
      <c r="LO20" s="57"/>
      <c r="LP20" s="57"/>
      <c r="LQ20" s="58">
        <f t="shared" si="113"/>
        <v>120</v>
      </c>
      <c r="LR20" s="319"/>
      <c r="LS20" s="308"/>
      <c r="LT20" s="308"/>
      <c r="LU20" s="308"/>
      <c r="LV20" s="308"/>
      <c r="LW20" s="340">
        <v>89</v>
      </c>
      <c r="LX20" s="310"/>
      <c r="LY20" s="57"/>
      <c r="LZ20" s="57"/>
      <c r="MA20" s="58">
        <f t="shared" si="126"/>
        <v>89</v>
      </c>
      <c r="MB20" s="319"/>
      <c r="MC20" s="308"/>
      <c r="MD20" s="308"/>
      <c r="ME20" s="308"/>
      <c r="MF20" s="308"/>
      <c r="MG20" s="309">
        <v>101</v>
      </c>
      <c r="MH20" s="310"/>
      <c r="MI20" s="57"/>
      <c r="MJ20" s="57"/>
      <c r="MK20" s="58">
        <f t="shared" si="29"/>
        <v>101</v>
      </c>
      <c r="ML20" s="319"/>
      <c r="MM20" s="308"/>
      <c r="MN20" s="308"/>
      <c r="MO20" s="308"/>
      <c r="MP20" s="308"/>
      <c r="MQ20" s="309">
        <v>57</v>
      </c>
      <c r="MR20" s="310"/>
      <c r="MS20" s="57"/>
      <c r="MT20" s="57"/>
      <c r="MU20" s="88">
        <f t="shared" si="30"/>
        <v>57</v>
      </c>
      <c r="MV20" s="319"/>
      <c r="MW20" s="308"/>
      <c r="MX20" s="308"/>
      <c r="MY20" s="308"/>
      <c r="MZ20" s="308"/>
      <c r="NA20" s="377">
        <v>17</v>
      </c>
      <c r="NB20" s="310"/>
      <c r="NC20" s="57">
        <v>390</v>
      </c>
      <c r="ND20" s="57"/>
      <c r="NE20" s="58">
        <f t="shared" si="31"/>
        <v>17</v>
      </c>
      <c r="NF20" s="117">
        <f t="shared" si="90"/>
        <v>390</v>
      </c>
      <c r="NG20" s="93">
        <f t="shared" si="32"/>
        <v>384</v>
      </c>
      <c r="NH20" s="349">
        <v>250</v>
      </c>
      <c r="NI20" s="93">
        <f t="shared" si="91"/>
        <v>134</v>
      </c>
      <c r="NJ20" s="196">
        <f t="shared" si="108"/>
        <v>1.536</v>
      </c>
      <c r="NK20" s="119"/>
      <c r="NL20" s="322" t="s">
        <v>61</v>
      </c>
      <c r="NM20" s="318"/>
      <c r="NN20" s="308"/>
      <c r="NO20" s="308"/>
      <c r="NP20" s="308"/>
      <c r="NQ20" s="308"/>
      <c r="NR20" s="340">
        <v>73</v>
      </c>
      <c r="NS20" s="310"/>
      <c r="NT20" s="57"/>
      <c r="NU20" s="57"/>
      <c r="NV20" s="58">
        <f t="shared" si="114"/>
        <v>73</v>
      </c>
      <c r="NW20" s="319"/>
      <c r="NX20" s="308"/>
      <c r="NY20" s="308"/>
      <c r="NZ20" s="308"/>
      <c r="OA20" s="308"/>
      <c r="OB20" s="340">
        <v>72</v>
      </c>
      <c r="OC20" s="310"/>
      <c r="OD20" s="57"/>
      <c r="OE20" s="57"/>
      <c r="OF20" s="58">
        <f t="shared" si="127"/>
        <v>72</v>
      </c>
      <c r="OG20" s="319"/>
      <c r="OH20" s="308"/>
      <c r="OI20" s="308"/>
      <c r="OJ20" s="308"/>
      <c r="OK20" s="308"/>
      <c r="OL20" s="309">
        <v>91</v>
      </c>
      <c r="OM20" s="310"/>
      <c r="ON20" s="57"/>
      <c r="OO20" s="57"/>
      <c r="OP20" s="58">
        <f t="shared" si="35"/>
        <v>91</v>
      </c>
      <c r="OQ20" s="319"/>
      <c r="OR20" s="308"/>
      <c r="OS20" s="308"/>
      <c r="OT20" s="308"/>
      <c r="OU20" s="308"/>
      <c r="OV20" s="309">
        <v>60</v>
      </c>
      <c r="OW20" s="310"/>
      <c r="OX20" s="57"/>
      <c r="OY20" s="57"/>
      <c r="OZ20" s="88">
        <f t="shared" si="36"/>
        <v>60</v>
      </c>
      <c r="PA20" s="319"/>
      <c r="PB20" s="308"/>
      <c r="PC20" s="308"/>
      <c r="PD20" s="308"/>
      <c r="PE20" s="308"/>
      <c r="PF20" s="377">
        <v>45</v>
      </c>
      <c r="PG20" s="310"/>
      <c r="PH20" s="57"/>
      <c r="PI20" s="57"/>
      <c r="PJ20" s="58">
        <f t="shared" si="37"/>
        <v>45</v>
      </c>
      <c r="PK20" s="99">
        <f t="shared" si="38"/>
        <v>0</v>
      </c>
      <c r="PL20" s="100">
        <f t="shared" si="39"/>
        <v>341</v>
      </c>
      <c r="PM20" s="346">
        <v>250</v>
      </c>
      <c r="PN20" s="100">
        <f t="shared" si="92"/>
        <v>91</v>
      </c>
      <c r="PO20" s="198">
        <f t="shared" si="109"/>
        <v>1.3640000000000001</v>
      </c>
      <c r="PP20" s="119"/>
      <c r="PQ20" s="322" t="s">
        <v>61</v>
      </c>
      <c r="PR20" s="318"/>
      <c r="PS20" s="308"/>
      <c r="PT20" s="308"/>
      <c r="PU20" s="308"/>
      <c r="PV20" s="308"/>
      <c r="PW20" s="340">
        <v>76</v>
      </c>
      <c r="PX20" s="310"/>
      <c r="PY20" s="57"/>
      <c r="PZ20" s="57"/>
      <c r="QA20" s="58">
        <f t="shared" si="115"/>
        <v>76</v>
      </c>
      <c r="QB20" s="352"/>
      <c r="QC20" s="353"/>
      <c r="QD20" s="353"/>
      <c r="QE20" s="353"/>
      <c r="QF20" s="353"/>
      <c r="QG20" s="455"/>
      <c r="QH20" s="355"/>
      <c r="QI20" s="356"/>
      <c r="QJ20" s="356"/>
      <c r="QK20" s="456">
        <f t="shared" si="128"/>
        <v>0</v>
      </c>
      <c r="QL20" s="319"/>
      <c r="QM20" s="308"/>
      <c r="QN20" s="308"/>
      <c r="QO20" s="308"/>
      <c r="QP20" s="308"/>
      <c r="QQ20" s="309">
        <v>47</v>
      </c>
      <c r="QR20" s="310"/>
      <c r="QS20" s="57"/>
      <c r="QT20" s="57"/>
      <c r="QU20" s="58">
        <f t="shared" si="42"/>
        <v>47</v>
      </c>
      <c r="QV20" s="319"/>
      <c r="QW20" s="308"/>
      <c r="QX20" s="308"/>
      <c r="QY20" s="308"/>
      <c r="QZ20" s="308"/>
      <c r="RA20" s="309">
        <v>36</v>
      </c>
      <c r="RB20" s="310"/>
      <c r="RC20" s="57"/>
      <c r="RD20" s="57"/>
      <c r="RE20" s="88">
        <f t="shared" si="43"/>
        <v>36</v>
      </c>
      <c r="RF20" s="319"/>
      <c r="RG20" s="308"/>
      <c r="RH20" s="308"/>
      <c r="RI20" s="308"/>
      <c r="RJ20" s="308"/>
      <c r="RK20" s="377">
        <v>78</v>
      </c>
      <c r="RL20" s="310"/>
      <c r="RM20" s="57">
        <v>253</v>
      </c>
      <c r="RN20" s="57"/>
      <c r="RO20" s="58">
        <f t="shared" si="44"/>
        <v>78</v>
      </c>
      <c r="RP20" s="121">
        <f t="shared" si="93"/>
        <v>253</v>
      </c>
      <c r="RQ20" s="104">
        <f t="shared" si="45"/>
        <v>237</v>
      </c>
      <c r="RR20" s="350">
        <v>250</v>
      </c>
      <c r="RS20" s="104">
        <f t="shared" si="94"/>
        <v>-13</v>
      </c>
      <c r="RT20" s="205">
        <f t="shared" si="110"/>
        <v>0.94799999999999995</v>
      </c>
      <c r="RV20" s="123">
        <f t="shared" si="95"/>
        <v>934</v>
      </c>
      <c r="RW20" s="124">
        <f t="shared" si="95"/>
        <v>1254</v>
      </c>
      <c r="RX20" s="124">
        <f t="shared" si="95"/>
        <v>1000</v>
      </c>
      <c r="RY20" s="125">
        <f t="shared" si="96"/>
        <v>1.254</v>
      </c>
      <c r="SA20" s="165" t="s">
        <v>61</v>
      </c>
      <c r="SB20" s="324"/>
      <c r="SC20" s="200"/>
      <c r="SD20" s="200"/>
      <c r="SE20" s="200"/>
      <c r="SF20" s="200">
        <v>74</v>
      </c>
      <c r="SG20" s="325"/>
      <c r="SH20" s="326"/>
      <c r="SI20" s="134"/>
      <c r="SJ20" s="134"/>
      <c r="SK20" s="131">
        <f t="shared" si="116"/>
        <v>74</v>
      </c>
      <c r="SL20" s="327"/>
      <c r="SM20" s="200"/>
      <c r="SN20" s="200"/>
      <c r="SO20" s="200"/>
      <c r="SP20" s="200"/>
      <c r="SQ20" s="325">
        <v>37</v>
      </c>
      <c r="SR20" s="326"/>
      <c r="SS20" s="134"/>
      <c r="ST20" s="134"/>
      <c r="SU20" s="131">
        <f t="shared" si="129"/>
        <v>37</v>
      </c>
      <c r="SV20" s="327"/>
      <c r="SW20" s="200"/>
      <c r="SX20" s="200"/>
      <c r="SY20" s="200"/>
      <c r="SZ20" s="200"/>
      <c r="TA20" s="325">
        <v>70</v>
      </c>
      <c r="TB20" s="326"/>
      <c r="TC20" s="134"/>
      <c r="TD20" s="134"/>
      <c r="TE20" s="131">
        <f t="shared" si="117"/>
        <v>70</v>
      </c>
      <c r="TF20" s="327"/>
      <c r="TG20" s="200"/>
      <c r="TH20" s="200"/>
      <c r="TI20" s="200"/>
      <c r="TJ20" s="200"/>
      <c r="TK20" s="325">
        <v>72</v>
      </c>
      <c r="TL20" s="326"/>
      <c r="TM20" s="134"/>
      <c r="TN20" s="134"/>
      <c r="TO20" s="131">
        <f t="shared" si="49"/>
        <v>72</v>
      </c>
      <c r="TP20" s="327"/>
      <c r="TQ20" s="200"/>
      <c r="TR20" s="200"/>
      <c r="TS20" s="200"/>
      <c r="TT20" s="200"/>
      <c r="TU20" s="325">
        <v>65</v>
      </c>
      <c r="TV20" s="326"/>
      <c r="TW20" s="134"/>
      <c r="TX20" s="134"/>
      <c r="TY20" s="136">
        <f t="shared" si="50"/>
        <v>65</v>
      </c>
      <c r="TZ20" s="209">
        <f t="shared" si="97"/>
        <v>0</v>
      </c>
      <c r="UA20" s="210">
        <f t="shared" si="97"/>
        <v>318</v>
      </c>
      <c r="UB20" s="210">
        <v>250</v>
      </c>
      <c r="UC20" s="211">
        <f t="shared" si="51"/>
        <v>1.272</v>
      </c>
      <c r="UD20" s="140"/>
      <c r="UE20" s="220" t="s">
        <v>61</v>
      </c>
      <c r="UF20" s="324"/>
      <c r="UG20" s="200"/>
      <c r="UH20" s="200"/>
      <c r="UI20" s="200"/>
      <c r="UJ20" s="200"/>
      <c r="UK20" s="325">
        <v>81</v>
      </c>
      <c r="UL20" s="326"/>
      <c r="UM20" s="134"/>
      <c r="UN20" s="134"/>
      <c r="UO20" s="131">
        <f t="shared" si="118"/>
        <v>81</v>
      </c>
      <c r="UP20" s="327"/>
      <c r="UQ20" s="200"/>
      <c r="UR20" s="200"/>
      <c r="US20" s="200"/>
      <c r="UT20" s="200"/>
      <c r="UU20" s="325">
        <v>51</v>
      </c>
      <c r="UV20" s="326"/>
      <c r="UW20" s="134"/>
      <c r="UX20" s="134"/>
      <c r="UY20" s="131">
        <f t="shared" si="130"/>
        <v>51</v>
      </c>
      <c r="UZ20" s="327"/>
      <c r="VA20" s="200"/>
      <c r="VB20" s="200"/>
      <c r="VC20" s="200"/>
      <c r="VD20" s="200"/>
      <c r="VE20" s="325">
        <v>95</v>
      </c>
      <c r="VF20" s="326"/>
      <c r="VG20" s="134"/>
      <c r="VH20" s="134"/>
      <c r="VI20" s="131">
        <f t="shared" si="119"/>
        <v>95</v>
      </c>
      <c r="VJ20" s="327"/>
      <c r="VK20" s="200"/>
      <c r="VL20" s="200"/>
      <c r="VM20" s="200"/>
      <c r="VN20" s="200"/>
      <c r="VO20" s="325">
        <v>33</v>
      </c>
      <c r="VP20" s="326"/>
      <c r="VQ20" s="134"/>
      <c r="VR20" s="134"/>
      <c r="VS20" s="131">
        <f t="shared" si="55"/>
        <v>33</v>
      </c>
      <c r="VT20" s="327"/>
      <c r="VU20" s="200"/>
      <c r="VV20" s="200"/>
      <c r="VW20" s="200"/>
      <c r="VX20" s="200"/>
      <c r="VY20" s="325">
        <v>50</v>
      </c>
      <c r="VZ20" s="326"/>
      <c r="WA20" s="134"/>
      <c r="WB20" s="134"/>
      <c r="WC20" s="131">
        <f t="shared" si="56"/>
        <v>50</v>
      </c>
      <c r="WD20" s="216">
        <f t="shared" si="98"/>
        <v>0</v>
      </c>
      <c r="WE20" s="217">
        <f t="shared" si="98"/>
        <v>310</v>
      </c>
      <c r="WF20" s="217">
        <v>250</v>
      </c>
      <c r="WG20" s="218">
        <f t="shared" si="57"/>
        <v>1.24</v>
      </c>
      <c r="WH20" s="146"/>
      <c r="WI20" s="220" t="s">
        <v>61</v>
      </c>
      <c r="WJ20" s="324"/>
      <c r="WK20" s="200"/>
      <c r="WL20" s="200"/>
      <c r="WM20" s="200"/>
      <c r="WN20" s="200"/>
      <c r="WO20" s="325">
        <v>23</v>
      </c>
      <c r="WP20" s="326"/>
      <c r="WQ20" s="134"/>
      <c r="WR20" s="134"/>
      <c r="WS20" s="131">
        <f t="shared" si="58"/>
        <v>23</v>
      </c>
      <c r="WT20" s="327"/>
      <c r="WU20" s="200"/>
      <c r="WV20" s="200"/>
      <c r="WW20" s="200"/>
      <c r="WX20" s="200"/>
      <c r="WY20" s="325">
        <v>24</v>
      </c>
      <c r="WZ20" s="326"/>
      <c r="XA20" s="134"/>
      <c r="XB20" s="134"/>
      <c r="XC20" s="131">
        <f t="shared" si="131"/>
        <v>24</v>
      </c>
      <c r="XD20" s="327"/>
      <c r="XE20" s="200"/>
      <c r="XF20" s="200"/>
      <c r="XG20" s="200"/>
      <c r="XH20" s="200"/>
      <c r="XI20" s="325">
        <v>57</v>
      </c>
      <c r="XJ20" s="326"/>
      <c r="XK20" s="134"/>
      <c r="XL20" s="134"/>
      <c r="XM20" s="131">
        <f t="shared" si="120"/>
        <v>57</v>
      </c>
      <c r="XN20" s="327"/>
      <c r="XO20" s="200"/>
      <c r="XP20" s="200"/>
      <c r="XQ20" s="200"/>
      <c r="XR20" s="200"/>
      <c r="XS20" s="325">
        <v>52</v>
      </c>
      <c r="XT20" s="326"/>
      <c r="XU20" s="134"/>
      <c r="XV20" s="134"/>
      <c r="XW20" s="131">
        <f t="shared" si="61"/>
        <v>52</v>
      </c>
      <c r="XX20" s="327"/>
      <c r="XY20" s="200"/>
      <c r="XZ20" s="200"/>
      <c r="YA20" s="200"/>
      <c r="YB20" s="200"/>
      <c r="YC20" s="325">
        <v>55</v>
      </c>
      <c r="YD20" s="326"/>
      <c r="YE20" s="134"/>
      <c r="YF20" s="134"/>
      <c r="YG20" s="131">
        <f t="shared" si="62"/>
        <v>55</v>
      </c>
      <c r="YH20" s="221">
        <f t="shared" si="99"/>
        <v>0</v>
      </c>
      <c r="YI20" s="148">
        <f t="shared" si="99"/>
        <v>211</v>
      </c>
      <c r="YJ20" s="222">
        <v>250</v>
      </c>
      <c r="YK20" s="223">
        <f t="shared" si="63"/>
        <v>0.84399999999999997</v>
      </c>
      <c r="YL20" s="150"/>
      <c r="YM20" s="328"/>
      <c r="YN20" s="200"/>
      <c r="YO20" s="200"/>
      <c r="YP20" s="200"/>
      <c r="YQ20" s="200"/>
      <c r="YR20" s="325">
        <v>67</v>
      </c>
      <c r="YS20" s="326"/>
      <c r="YT20" s="134"/>
      <c r="YU20" s="134"/>
      <c r="YV20" s="131">
        <f t="shared" si="121"/>
        <v>67</v>
      </c>
      <c r="YW20" s="327"/>
      <c r="YX20" s="200"/>
      <c r="YY20" s="200"/>
      <c r="YZ20" s="200"/>
      <c r="ZA20" s="200"/>
      <c r="ZB20" s="325">
        <v>36</v>
      </c>
      <c r="ZC20" s="326"/>
      <c r="ZD20" s="134"/>
      <c r="ZE20" s="134"/>
      <c r="ZF20" s="131">
        <f t="shared" si="132"/>
        <v>36</v>
      </c>
      <c r="ZG20" s="327"/>
      <c r="ZH20" s="200"/>
      <c r="ZI20" s="200"/>
      <c r="ZJ20" s="200"/>
      <c r="ZK20" s="200"/>
      <c r="ZL20" s="325">
        <v>53</v>
      </c>
      <c r="ZM20" s="326"/>
      <c r="ZN20" s="134"/>
      <c r="ZO20" s="134"/>
      <c r="ZP20" s="131">
        <f t="shared" si="122"/>
        <v>53</v>
      </c>
      <c r="ZQ20" s="327"/>
      <c r="ZR20" s="200"/>
      <c r="ZS20" s="200"/>
      <c r="ZT20" s="200"/>
      <c r="ZU20" s="200"/>
      <c r="ZV20" s="325">
        <v>24</v>
      </c>
      <c r="ZW20" s="326"/>
      <c r="ZX20" s="134"/>
      <c r="ZY20" s="134"/>
      <c r="ZZ20" s="131">
        <f t="shared" si="67"/>
        <v>24</v>
      </c>
      <c r="AAA20" s="327"/>
      <c r="AAB20" s="200"/>
      <c r="AAC20" s="200"/>
      <c r="AAD20" s="200"/>
      <c r="AAE20" s="200"/>
      <c r="AAF20" s="325">
        <v>53</v>
      </c>
      <c r="AAG20" s="326"/>
      <c r="AAH20" s="134"/>
      <c r="AAI20" s="134"/>
      <c r="AAJ20" s="131">
        <f t="shared" si="68"/>
        <v>53</v>
      </c>
      <c r="AAK20" s="226">
        <f t="shared" si="69"/>
        <v>233</v>
      </c>
      <c r="AAL20" s="226">
        <v>250</v>
      </c>
      <c r="AAM20" s="227">
        <f t="shared" si="70"/>
        <v>0.93200000000000005</v>
      </c>
      <c r="AAN20" s="329" t="s">
        <v>61</v>
      </c>
      <c r="AAO20" s="324"/>
      <c r="AAP20" s="200"/>
      <c r="AAQ20" s="200"/>
      <c r="AAR20" s="200"/>
      <c r="AAS20" s="200"/>
      <c r="AAT20" s="325"/>
      <c r="AAU20" s="326"/>
      <c r="AAV20" s="134"/>
      <c r="AAW20" s="134"/>
      <c r="AAX20" s="155"/>
      <c r="AAY20" s="131">
        <f t="shared" si="123"/>
        <v>0</v>
      </c>
      <c r="AAZ20" s="327"/>
      <c r="ABA20" s="200"/>
      <c r="ABB20" s="200"/>
      <c r="ABC20" s="200"/>
      <c r="ABD20" s="200"/>
      <c r="ABE20" s="325">
        <v>73</v>
      </c>
      <c r="ABF20" s="326"/>
      <c r="ABG20" s="134"/>
      <c r="ABH20" s="134"/>
      <c r="ABI20" s="131">
        <f t="shared" si="71"/>
        <v>73</v>
      </c>
      <c r="ABJ20" s="327"/>
      <c r="ABK20" s="200"/>
      <c r="ABL20" s="200"/>
      <c r="ABM20" s="200"/>
      <c r="ABN20" s="200"/>
      <c r="ABO20" s="325">
        <v>26</v>
      </c>
      <c r="ABP20" s="326"/>
      <c r="ABQ20" s="134"/>
      <c r="ABR20" s="134"/>
      <c r="ABS20" s="131">
        <f t="shared" si="124"/>
        <v>26</v>
      </c>
      <c r="ABT20" s="327"/>
      <c r="ABU20" s="200"/>
      <c r="ABV20" s="200"/>
      <c r="ABW20" s="200"/>
      <c r="ABX20" s="200"/>
      <c r="ABY20" s="325">
        <v>44</v>
      </c>
      <c r="ABZ20" s="326"/>
      <c r="ACA20" s="134"/>
      <c r="ACB20" s="134"/>
      <c r="ACC20" s="131">
        <f t="shared" si="73"/>
        <v>44</v>
      </c>
      <c r="ACD20" s="327"/>
      <c r="ACE20" s="200"/>
      <c r="ACF20" s="200"/>
      <c r="ACG20" s="200"/>
      <c r="ACH20" s="200"/>
      <c r="ACI20" s="325">
        <v>108</v>
      </c>
      <c r="ACJ20" s="326"/>
      <c r="ACK20" s="134"/>
      <c r="ACL20" s="134"/>
      <c r="ACM20" s="131">
        <f t="shared" si="74"/>
        <v>108</v>
      </c>
      <c r="ACN20" s="156">
        <f t="shared" si="75"/>
        <v>0</v>
      </c>
      <c r="ACO20" s="157"/>
      <c r="ACP20" s="229">
        <f t="shared" si="100"/>
        <v>251</v>
      </c>
      <c r="ACQ20" s="229">
        <v>200</v>
      </c>
      <c r="ACR20" s="230">
        <f t="shared" si="101"/>
        <v>1.2549999999999999</v>
      </c>
      <c r="ACS20" s="231">
        <f t="shared" si="76"/>
        <v>1323</v>
      </c>
      <c r="ACT20" s="207">
        <f t="shared" si="76"/>
        <v>1200</v>
      </c>
      <c r="ACU20" s="208">
        <f t="shared" si="102"/>
        <v>1.1025</v>
      </c>
      <c r="ACW20" s="163">
        <f t="shared" si="103"/>
        <v>1.2102058823529411</v>
      </c>
      <c r="ACX20" s="5">
        <v>1</v>
      </c>
    </row>
    <row r="21" spans="1:778" s="102" customFormat="1" x14ac:dyDescent="0.35">
      <c r="A21" s="51" t="s">
        <v>52</v>
      </c>
      <c r="B21" s="165" t="s">
        <v>91</v>
      </c>
      <c r="C21" s="457"/>
      <c r="D21" s="446"/>
      <c r="E21" s="446"/>
      <c r="F21" s="446"/>
      <c r="G21" s="446"/>
      <c r="H21" s="458"/>
      <c r="I21" s="448"/>
      <c r="J21" s="449"/>
      <c r="K21" s="459">
        <f t="shared" si="0"/>
        <v>0</v>
      </c>
      <c r="L21" s="445"/>
      <c r="M21" s="446"/>
      <c r="N21" s="446"/>
      <c r="O21" s="446"/>
      <c r="P21" s="446"/>
      <c r="Q21" s="458"/>
      <c r="R21" s="448"/>
      <c r="S21" s="458"/>
      <c r="T21" s="58">
        <f t="shared" si="1"/>
        <v>0</v>
      </c>
      <c r="U21" s="445"/>
      <c r="V21" s="446"/>
      <c r="W21" s="446"/>
      <c r="X21" s="446"/>
      <c r="Y21" s="446"/>
      <c r="Z21" s="458"/>
      <c r="AA21" s="448"/>
      <c r="AB21" s="449"/>
      <c r="AC21" s="67">
        <f t="shared" si="2"/>
        <v>0</v>
      </c>
      <c r="AD21" s="445"/>
      <c r="AE21" s="446"/>
      <c r="AF21" s="446"/>
      <c r="AG21" s="446"/>
      <c r="AH21" s="446"/>
      <c r="AI21" s="458"/>
      <c r="AJ21" s="448"/>
      <c r="AK21" s="449"/>
      <c r="AL21" s="88">
        <f t="shared" si="3"/>
        <v>0</v>
      </c>
      <c r="AM21" s="445"/>
      <c r="AN21" s="446"/>
      <c r="AO21" s="446"/>
      <c r="AP21" s="446"/>
      <c r="AQ21" s="446"/>
      <c r="AR21" s="447"/>
      <c r="AS21" s="448"/>
      <c r="AT21" s="449"/>
      <c r="AU21" s="459">
        <f t="shared" si="4"/>
        <v>0</v>
      </c>
      <c r="AV21" s="190">
        <v>0</v>
      </c>
      <c r="AW21" s="191">
        <f t="shared" si="77"/>
        <v>0</v>
      </c>
      <c r="AX21" s="191">
        <v>0</v>
      </c>
      <c r="AY21" s="421">
        <v>0</v>
      </c>
      <c r="AZ21" s="422"/>
      <c r="BA21" s="457"/>
      <c r="BB21" s="446"/>
      <c r="BC21" s="446"/>
      <c r="BD21" s="446"/>
      <c r="BE21" s="446"/>
      <c r="BF21" s="458"/>
      <c r="BG21" s="448"/>
      <c r="BH21" s="449"/>
      <c r="BI21" s="86">
        <f t="shared" si="6"/>
        <v>0</v>
      </c>
      <c r="BJ21" s="460"/>
      <c r="BK21" s="446"/>
      <c r="BL21" s="446"/>
      <c r="BM21" s="446"/>
      <c r="BN21" s="446"/>
      <c r="BO21" s="458"/>
      <c r="BP21" s="448"/>
      <c r="BQ21" s="458"/>
      <c r="BR21" s="58">
        <f t="shared" si="7"/>
        <v>0</v>
      </c>
      <c r="BS21" s="445"/>
      <c r="BT21" s="446"/>
      <c r="BU21" s="446"/>
      <c r="BV21" s="446"/>
      <c r="BW21" s="446"/>
      <c r="BX21" s="458"/>
      <c r="BY21" s="448"/>
      <c r="BZ21" s="449"/>
      <c r="CA21" s="459">
        <f t="shared" si="105"/>
        <v>0</v>
      </c>
      <c r="CB21" s="445"/>
      <c r="CC21" s="446"/>
      <c r="CD21" s="446"/>
      <c r="CE21" s="446"/>
      <c r="CF21" s="446"/>
      <c r="CG21" s="458"/>
      <c r="CH21" s="448"/>
      <c r="CI21" s="449"/>
      <c r="CJ21" s="461">
        <f t="shared" si="106"/>
        <v>0</v>
      </c>
      <c r="CK21" s="445"/>
      <c r="CL21" s="446"/>
      <c r="CM21" s="446"/>
      <c r="CN21" s="446"/>
      <c r="CO21" s="446"/>
      <c r="CP21" s="447"/>
      <c r="CQ21" s="448"/>
      <c r="CR21" s="449"/>
      <c r="CS21" s="91">
        <f t="shared" si="78"/>
        <v>0</v>
      </c>
      <c r="CT21" s="431">
        <v>290</v>
      </c>
      <c r="CU21" s="195">
        <f t="shared" si="79"/>
        <v>0</v>
      </c>
      <c r="CV21" s="195">
        <v>0</v>
      </c>
      <c r="CW21" s="196">
        <v>0</v>
      </c>
      <c r="CX21" s="95"/>
      <c r="CY21" s="457"/>
      <c r="CZ21" s="446"/>
      <c r="DA21" s="446"/>
      <c r="DB21" s="446"/>
      <c r="DC21" s="446"/>
      <c r="DD21" s="428">
        <v>0</v>
      </c>
      <c r="DE21" s="448"/>
      <c r="DF21" s="449"/>
      <c r="DG21" s="58">
        <f t="shared" si="9"/>
        <v>0</v>
      </c>
      <c r="DH21" s="319"/>
      <c r="DI21" s="308"/>
      <c r="DJ21" s="339"/>
      <c r="DK21" s="339"/>
      <c r="DL21" s="339"/>
      <c r="DM21" s="340">
        <v>10</v>
      </c>
      <c r="DN21" s="310"/>
      <c r="DO21" s="462"/>
      <c r="DP21" s="58">
        <f t="shared" si="10"/>
        <v>10</v>
      </c>
      <c r="DQ21" s="319"/>
      <c r="DR21" s="308"/>
      <c r="DS21" s="308"/>
      <c r="DT21" s="308"/>
      <c r="DU21" s="308"/>
      <c r="DV21" s="340">
        <v>15</v>
      </c>
      <c r="DW21" s="310"/>
      <c r="DX21" s="57"/>
      <c r="DY21" s="58">
        <f t="shared" si="80"/>
        <v>15</v>
      </c>
      <c r="DZ21" s="319">
        <v>1</v>
      </c>
      <c r="EA21" s="308"/>
      <c r="EB21" s="308"/>
      <c r="EC21" s="308"/>
      <c r="ED21" s="308"/>
      <c r="EE21" s="309">
        <v>18</v>
      </c>
      <c r="EF21" s="310"/>
      <c r="EG21" s="57"/>
      <c r="EH21" s="96">
        <f t="shared" si="81"/>
        <v>19</v>
      </c>
      <c r="EI21" s="379"/>
      <c r="EJ21" s="308"/>
      <c r="EK21" s="308"/>
      <c r="EL21" s="308"/>
      <c r="EM21" s="308"/>
      <c r="EN21" s="377">
        <v>22</v>
      </c>
      <c r="EO21" s="310"/>
      <c r="EP21" s="57"/>
      <c r="EQ21" s="98">
        <f t="shared" si="82"/>
        <v>22</v>
      </c>
      <c r="ER21" s="99">
        <v>72</v>
      </c>
      <c r="ES21" s="100">
        <f t="shared" si="111"/>
        <v>66</v>
      </c>
      <c r="ET21" s="346">
        <v>250</v>
      </c>
      <c r="EU21" s="177">
        <f t="shared" si="11"/>
        <v>0.26400000000000001</v>
      </c>
      <c r="EW21" s="307"/>
      <c r="EX21" s="308"/>
      <c r="EY21" s="308"/>
      <c r="EZ21" s="308"/>
      <c r="FA21" s="308"/>
      <c r="FB21" s="309">
        <v>25</v>
      </c>
      <c r="FC21" s="310"/>
      <c r="FD21" s="57"/>
      <c r="FE21" s="58">
        <f t="shared" si="12"/>
        <v>25</v>
      </c>
      <c r="FF21" s="319"/>
      <c r="FG21" s="308"/>
      <c r="FH21" s="339"/>
      <c r="FI21" s="339"/>
      <c r="FJ21" s="339"/>
      <c r="FK21" s="340">
        <v>39</v>
      </c>
      <c r="FL21" s="310"/>
      <c r="FM21" s="462"/>
      <c r="FN21" s="58">
        <f t="shared" si="13"/>
        <v>39</v>
      </c>
      <c r="FO21" s="319"/>
      <c r="FP21" s="308"/>
      <c r="FQ21" s="308"/>
      <c r="FR21" s="308"/>
      <c r="FS21" s="308"/>
      <c r="FT21" s="340">
        <v>24</v>
      </c>
      <c r="FU21" s="310"/>
      <c r="FV21" s="57"/>
      <c r="FW21" s="58">
        <f t="shared" si="83"/>
        <v>24</v>
      </c>
      <c r="FX21" s="319"/>
      <c r="FY21" s="308"/>
      <c r="FZ21" s="308"/>
      <c r="GA21" s="308"/>
      <c r="GB21" s="308"/>
      <c r="GC21" s="309">
        <v>30</v>
      </c>
      <c r="GD21" s="310"/>
      <c r="GE21" s="57"/>
      <c r="GF21" s="58">
        <f t="shared" si="84"/>
        <v>30</v>
      </c>
      <c r="GG21" s="319"/>
      <c r="GH21" s="308"/>
      <c r="GI21" s="308"/>
      <c r="GJ21" s="308"/>
      <c r="GK21" s="308"/>
      <c r="GL21" s="377">
        <v>32</v>
      </c>
      <c r="GM21" s="310"/>
      <c r="GN21" s="57"/>
      <c r="GO21" s="58">
        <f t="shared" si="85"/>
        <v>32</v>
      </c>
      <c r="GP21" s="103">
        <v>189</v>
      </c>
      <c r="GQ21" s="104">
        <f t="shared" ref="GQ21:GQ30" si="135">+FE21+FN21+FW21+GF21+GO21</f>
        <v>150</v>
      </c>
      <c r="GR21" s="104">
        <v>250</v>
      </c>
      <c r="GS21" s="178">
        <f t="shared" si="14"/>
        <v>0.6</v>
      </c>
      <c r="GT21" s="307"/>
      <c r="GU21" s="308"/>
      <c r="GV21" s="308"/>
      <c r="GW21" s="308"/>
      <c r="GX21" s="308"/>
      <c r="GY21" s="309"/>
      <c r="GZ21" s="310"/>
      <c r="HA21" s="57"/>
      <c r="HB21" s="57"/>
      <c r="HC21" s="58">
        <f t="shared" si="15"/>
        <v>0</v>
      </c>
      <c r="HD21" s="319"/>
      <c r="HE21" s="308"/>
      <c r="HF21" s="339"/>
      <c r="HG21" s="339"/>
      <c r="HH21" s="339"/>
      <c r="HI21" s="340"/>
      <c r="HJ21" s="310"/>
      <c r="HK21" s="57"/>
      <c r="HL21" s="462"/>
      <c r="HM21" s="58">
        <f t="shared" si="16"/>
        <v>0</v>
      </c>
      <c r="HN21" s="319"/>
      <c r="HO21" s="308"/>
      <c r="HP21" s="308"/>
      <c r="HQ21" s="308"/>
      <c r="HR21" s="308"/>
      <c r="HS21" s="340"/>
      <c r="HT21" s="310"/>
      <c r="HU21" s="57"/>
      <c r="HV21" s="57"/>
      <c r="HW21" s="58">
        <f t="shared" si="17"/>
        <v>0</v>
      </c>
      <c r="HX21" s="319"/>
      <c r="HY21" s="308"/>
      <c r="HZ21" s="308"/>
      <c r="IA21" s="308"/>
      <c r="IB21" s="308"/>
      <c r="IC21" s="309"/>
      <c r="ID21" s="310"/>
      <c r="IE21" s="57"/>
      <c r="IF21" s="57"/>
      <c r="IG21" s="88">
        <f t="shared" si="18"/>
        <v>0</v>
      </c>
      <c r="IH21" s="319"/>
      <c r="II21" s="308"/>
      <c r="IJ21" s="308"/>
      <c r="IK21" s="308"/>
      <c r="IL21" s="308"/>
      <c r="IM21" s="377"/>
      <c r="IN21" s="310"/>
      <c r="IO21" s="57"/>
      <c r="IP21" s="57"/>
      <c r="IQ21" s="58">
        <f t="shared" si="19"/>
        <v>0</v>
      </c>
      <c r="IR21" s="106"/>
      <c r="IS21" s="443"/>
      <c r="IT21" s="443"/>
      <c r="IU21" s="444"/>
      <c r="IV21" s="95"/>
      <c r="IW21" s="109">
        <f t="shared" si="87"/>
        <v>551</v>
      </c>
      <c r="IX21" s="110">
        <f t="shared" si="87"/>
        <v>216</v>
      </c>
      <c r="IY21" s="110">
        <f t="shared" si="87"/>
        <v>500</v>
      </c>
      <c r="IZ21" s="321">
        <f t="shared" si="20"/>
        <v>0.432</v>
      </c>
      <c r="JB21" s="182" t="s">
        <v>62</v>
      </c>
      <c r="JC21" s="360"/>
      <c r="JD21" s="361"/>
      <c r="JE21" s="361"/>
      <c r="JF21" s="361"/>
      <c r="JG21" s="361"/>
      <c r="JH21" s="362">
        <v>96</v>
      </c>
      <c r="JI21" s="363"/>
      <c r="JJ21" s="187"/>
      <c r="JK21" s="187"/>
      <c r="JL21" s="188">
        <f t="shared" si="112"/>
        <v>96</v>
      </c>
      <c r="JM21" s="364"/>
      <c r="JN21" s="361"/>
      <c r="JO21" s="361"/>
      <c r="JP21" s="361"/>
      <c r="JQ21" s="361"/>
      <c r="JR21" s="362"/>
      <c r="JS21" s="363"/>
      <c r="JT21" s="187"/>
      <c r="JU21" s="187"/>
      <c r="JV21" s="188">
        <f t="shared" si="125"/>
        <v>0</v>
      </c>
      <c r="JW21" s="364"/>
      <c r="JX21" s="361"/>
      <c r="JY21" s="361"/>
      <c r="JZ21" s="361"/>
      <c r="KA21" s="361"/>
      <c r="KB21" s="362"/>
      <c r="KC21" s="363"/>
      <c r="KD21" s="187"/>
      <c r="KE21" s="187"/>
      <c r="KF21" s="188">
        <f t="shared" si="23"/>
        <v>0</v>
      </c>
      <c r="KG21" s="364"/>
      <c r="KH21" s="361"/>
      <c r="KI21" s="361"/>
      <c r="KJ21" s="361"/>
      <c r="KK21" s="361"/>
      <c r="KL21" s="362"/>
      <c r="KM21" s="363"/>
      <c r="KN21" s="187"/>
      <c r="KO21" s="187"/>
      <c r="KP21" s="188">
        <f t="shared" si="24"/>
        <v>0</v>
      </c>
      <c r="KQ21" s="364"/>
      <c r="KR21" s="361"/>
      <c r="KS21" s="361"/>
      <c r="KT21" s="361"/>
      <c r="KU21" s="361"/>
      <c r="KV21" s="362"/>
      <c r="KW21" s="186"/>
      <c r="KX21" s="187">
        <v>96</v>
      </c>
      <c r="KY21" s="187"/>
      <c r="KZ21" s="188">
        <f t="shared" si="25"/>
        <v>0</v>
      </c>
      <c r="LA21" s="190">
        <f t="shared" si="107"/>
        <v>96</v>
      </c>
      <c r="LB21" s="191">
        <f t="shared" si="26"/>
        <v>96</v>
      </c>
      <c r="LC21" s="359">
        <v>96</v>
      </c>
      <c r="LD21" s="191">
        <f t="shared" si="88"/>
        <v>0</v>
      </c>
      <c r="LE21" s="192">
        <f t="shared" si="89"/>
        <v>1</v>
      </c>
      <c r="LF21" s="193"/>
      <c r="LG21" s="194" t="s">
        <v>62</v>
      </c>
      <c r="LH21" s="360"/>
      <c r="LI21" s="361"/>
      <c r="LJ21" s="361"/>
      <c r="LK21" s="361"/>
      <c r="LL21" s="361"/>
      <c r="LM21" s="362"/>
      <c r="LN21" s="363"/>
      <c r="LO21" s="187"/>
      <c r="LP21" s="187"/>
      <c r="LQ21" s="188">
        <f t="shared" si="113"/>
        <v>0</v>
      </c>
      <c r="LR21" s="364"/>
      <c r="LS21" s="361"/>
      <c r="LT21" s="361"/>
      <c r="LU21" s="361"/>
      <c r="LV21" s="361"/>
      <c r="LW21" s="362"/>
      <c r="LX21" s="363"/>
      <c r="LY21" s="187"/>
      <c r="LZ21" s="362"/>
      <c r="MA21" s="188">
        <f t="shared" si="126"/>
        <v>0</v>
      </c>
      <c r="MB21" s="364"/>
      <c r="MC21" s="361"/>
      <c r="MD21" s="361"/>
      <c r="ME21" s="361"/>
      <c r="MF21" s="361"/>
      <c r="MG21" s="362"/>
      <c r="MH21" s="363"/>
      <c r="MI21" s="187"/>
      <c r="MJ21" s="187"/>
      <c r="MK21" s="188">
        <f t="shared" si="29"/>
        <v>0</v>
      </c>
      <c r="ML21" s="364"/>
      <c r="MM21" s="361"/>
      <c r="MN21" s="361"/>
      <c r="MO21" s="361"/>
      <c r="MP21" s="361"/>
      <c r="MQ21" s="362"/>
      <c r="MR21" s="363"/>
      <c r="MS21" s="187"/>
      <c r="MT21" s="187"/>
      <c r="MU21" s="188">
        <f t="shared" si="30"/>
        <v>0</v>
      </c>
      <c r="MV21" s="364"/>
      <c r="MW21" s="361"/>
      <c r="MX21" s="361"/>
      <c r="MY21" s="361"/>
      <c r="MZ21" s="361"/>
      <c r="NA21" s="362"/>
      <c r="NB21" s="363"/>
      <c r="NC21" s="187">
        <v>0</v>
      </c>
      <c r="ND21" s="187"/>
      <c r="NE21" s="188">
        <f t="shared" si="31"/>
        <v>0</v>
      </c>
      <c r="NF21" s="117">
        <f t="shared" si="90"/>
        <v>0</v>
      </c>
      <c r="NG21" s="195">
        <f t="shared" si="32"/>
        <v>0</v>
      </c>
      <c r="NH21" s="365">
        <v>0</v>
      </c>
      <c r="NI21" s="195">
        <f t="shared" si="91"/>
        <v>0</v>
      </c>
      <c r="NJ21" s="196">
        <v>0</v>
      </c>
      <c r="NK21" s="366"/>
      <c r="NL21" s="194" t="s">
        <v>62</v>
      </c>
      <c r="NM21" s="360"/>
      <c r="NN21" s="361"/>
      <c r="NO21" s="361"/>
      <c r="NP21" s="361"/>
      <c r="NQ21" s="361"/>
      <c r="NR21" s="362"/>
      <c r="NS21" s="363"/>
      <c r="NT21" s="187"/>
      <c r="NU21" s="187"/>
      <c r="NV21" s="188">
        <f t="shared" si="114"/>
        <v>0</v>
      </c>
      <c r="NW21" s="364"/>
      <c r="NX21" s="361"/>
      <c r="NY21" s="361"/>
      <c r="NZ21" s="361"/>
      <c r="OA21" s="361"/>
      <c r="OB21" s="362"/>
      <c r="OC21" s="363"/>
      <c r="OD21" s="187"/>
      <c r="OE21" s="362"/>
      <c r="OF21" s="188">
        <f t="shared" si="127"/>
        <v>0</v>
      </c>
      <c r="OG21" s="364"/>
      <c r="OH21" s="361"/>
      <c r="OI21" s="361"/>
      <c r="OJ21" s="361"/>
      <c r="OK21" s="361"/>
      <c r="OL21" s="362"/>
      <c r="OM21" s="363"/>
      <c r="ON21" s="187"/>
      <c r="OO21" s="187"/>
      <c r="OP21" s="188">
        <f t="shared" si="35"/>
        <v>0</v>
      </c>
      <c r="OQ21" s="364"/>
      <c r="OR21" s="361"/>
      <c r="OS21" s="361"/>
      <c r="OT21" s="361"/>
      <c r="OU21" s="361"/>
      <c r="OV21" s="362"/>
      <c r="OW21" s="363"/>
      <c r="OX21" s="187"/>
      <c r="OY21" s="187"/>
      <c r="OZ21" s="188">
        <f t="shared" si="36"/>
        <v>0</v>
      </c>
      <c r="PA21" s="364"/>
      <c r="PB21" s="361"/>
      <c r="PC21" s="361"/>
      <c r="PD21" s="361"/>
      <c r="PE21" s="361"/>
      <c r="PF21" s="362"/>
      <c r="PG21" s="363"/>
      <c r="PH21" s="187"/>
      <c r="PI21" s="187"/>
      <c r="PJ21" s="188">
        <f t="shared" si="37"/>
        <v>0</v>
      </c>
      <c r="PK21" s="99">
        <f t="shared" si="38"/>
        <v>0</v>
      </c>
      <c r="PL21" s="197">
        <f t="shared" si="39"/>
        <v>0</v>
      </c>
      <c r="PM21" s="367">
        <v>0</v>
      </c>
      <c r="PN21" s="197">
        <f t="shared" si="92"/>
        <v>0</v>
      </c>
      <c r="PO21" s="198">
        <v>0</v>
      </c>
      <c r="PP21" s="366"/>
      <c r="PQ21" s="194" t="s">
        <v>62</v>
      </c>
      <c r="PR21" s="360"/>
      <c r="PS21" s="361"/>
      <c r="PT21" s="361"/>
      <c r="PU21" s="361"/>
      <c r="PV21" s="361"/>
      <c r="PW21" s="362"/>
      <c r="PX21" s="363"/>
      <c r="PY21" s="187"/>
      <c r="PZ21" s="187"/>
      <c r="QA21" s="188">
        <f t="shared" si="115"/>
        <v>0</v>
      </c>
      <c r="QB21" s="364"/>
      <c r="QC21" s="361"/>
      <c r="QD21" s="361"/>
      <c r="QE21" s="361"/>
      <c r="QF21" s="361"/>
      <c r="QG21" s="362"/>
      <c r="QH21" s="363"/>
      <c r="QI21" s="187"/>
      <c r="QJ21" s="362"/>
      <c r="QK21" s="188">
        <f t="shared" si="128"/>
        <v>0</v>
      </c>
      <c r="QL21" s="364"/>
      <c r="QM21" s="361"/>
      <c r="QN21" s="361"/>
      <c r="QO21" s="361"/>
      <c r="QP21" s="361"/>
      <c r="QQ21" s="362"/>
      <c r="QR21" s="363"/>
      <c r="QS21" s="187"/>
      <c r="QT21" s="187"/>
      <c r="QU21" s="188">
        <f t="shared" si="42"/>
        <v>0</v>
      </c>
      <c r="QV21" s="364"/>
      <c r="QW21" s="361"/>
      <c r="QX21" s="361"/>
      <c r="QY21" s="361"/>
      <c r="QZ21" s="361"/>
      <c r="RA21" s="362"/>
      <c r="RB21" s="363"/>
      <c r="RC21" s="187"/>
      <c r="RD21" s="187"/>
      <c r="RE21" s="188">
        <f t="shared" si="43"/>
        <v>0</v>
      </c>
      <c r="RF21" s="364"/>
      <c r="RG21" s="361"/>
      <c r="RH21" s="361"/>
      <c r="RI21" s="361"/>
      <c r="RJ21" s="361"/>
      <c r="RK21" s="362"/>
      <c r="RL21" s="363"/>
      <c r="RM21" s="187"/>
      <c r="RN21" s="187"/>
      <c r="RO21" s="188">
        <f t="shared" si="44"/>
        <v>0</v>
      </c>
      <c r="RP21" s="121">
        <f t="shared" si="93"/>
        <v>0</v>
      </c>
      <c r="RQ21" s="368">
        <f t="shared" si="45"/>
        <v>0</v>
      </c>
      <c r="RR21" s="369">
        <v>0</v>
      </c>
      <c r="RS21" s="368">
        <f t="shared" si="94"/>
        <v>0</v>
      </c>
      <c r="RT21" s="205">
        <v>0</v>
      </c>
      <c r="RU21" s="140"/>
      <c r="RV21" s="123">
        <f t="shared" si="95"/>
        <v>96</v>
      </c>
      <c r="RW21" s="207">
        <f t="shared" si="95"/>
        <v>96</v>
      </c>
      <c r="RX21" s="207">
        <f t="shared" si="95"/>
        <v>96</v>
      </c>
      <c r="RY21" s="208">
        <f t="shared" si="96"/>
        <v>1</v>
      </c>
      <c r="SA21" s="165" t="s">
        <v>62</v>
      </c>
      <c r="SB21" s="324"/>
      <c r="SC21" s="200"/>
      <c r="SD21" s="200"/>
      <c r="SE21" s="200"/>
      <c r="SF21" s="200"/>
      <c r="SG21" s="325">
        <v>55</v>
      </c>
      <c r="SH21" s="326"/>
      <c r="SI21" s="134"/>
      <c r="SJ21" s="134"/>
      <c r="SK21" s="131">
        <f t="shared" si="116"/>
        <v>55</v>
      </c>
      <c r="SL21" s="327"/>
      <c r="SM21" s="200"/>
      <c r="SN21" s="200"/>
      <c r="SO21" s="200"/>
      <c r="SP21" s="200"/>
      <c r="SQ21" s="325">
        <v>55</v>
      </c>
      <c r="SR21" s="326"/>
      <c r="SS21" s="134"/>
      <c r="ST21" s="325"/>
      <c r="SU21" s="131">
        <f t="shared" si="129"/>
        <v>55</v>
      </c>
      <c r="SV21" s="327"/>
      <c r="SW21" s="200"/>
      <c r="SX21" s="200"/>
      <c r="SY21" s="200"/>
      <c r="SZ21" s="200"/>
      <c r="TA21" s="325">
        <v>20</v>
      </c>
      <c r="TB21" s="326"/>
      <c r="TC21" s="134"/>
      <c r="TD21" s="134"/>
      <c r="TE21" s="131">
        <f t="shared" si="117"/>
        <v>20</v>
      </c>
      <c r="TF21" s="327"/>
      <c r="TG21" s="200"/>
      <c r="TH21" s="200"/>
      <c r="TI21" s="200"/>
      <c r="TJ21" s="200"/>
      <c r="TK21" s="325">
        <v>20</v>
      </c>
      <c r="TL21" s="326"/>
      <c r="TM21" s="134"/>
      <c r="TN21" s="134"/>
      <c r="TO21" s="131">
        <f t="shared" si="49"/>
        <v>20</v>
      </c>
      <c r="TP21" s="327"/>
      <c r="TQ21" s="200"/>
      <c r="TR21" s="200"/>
      <c r="TS21" s="200"/>
      <c r="TT21" s="200"/>
      <c r="TU21" s="325">
        <v>26</v>
      </c>
      <c r="TV21" s="326"/>
      <c r="TW21" s="134"/>
      <c r="TX21" s="134"/>
      <c r="TY21" s="136">
        <f t="shared" si="50"/>
        <v>26</v>
      </c>
      <c r="TZ21" s="209">
        <f t="shared" si="97"/>
        <v>0</v>
      </c>
      <c r="UA21" s="210">
        <f t="shared" si="97"/>
        <v>176</v>
      </c>
      <c r="UB21" s="210">
        <v>250</v>
      </c>
      <c r="UC21" s="211">
        <f t="shared" si="51"/>
        <v>0.70399999999999996</v>
      </c>
      <c r="UD21" s="140"/>
      <c r="UE21" s="220" t="s">
        <v>62</v>
      </c>
      <c r="UF21" s="324"/>
      <c r="UG21" s="200"/>
      <c r="UH21" s="200"/>
      <c r="UI21" s="200"/>
      <c r="UJ21" s="200"/>
      <c r="UK21" s="325">
        <v>27</v>
      </c>
      <c r="UL21" s="326"/>
      <c r="UM21" s="134"/>
      <c r="UN21" s="134"/>
      <c r="UO21" s="131">
        <f t="shared" si="118"/>
        <v>27</v>
      </c>
      <c r="UP21" s="327"/>
      <c r="UQ21" s="200"/>
      <c r="UR21" s="200"/>
      <c r="US21" s="200"/>
      <c r="UT21" s="200"/>
      <c r="UU21" s="325">
        <v>29</v>
      </c>
      <c r="UV21" s="325"/>
      <c r="UW21" s="325"/>
      <c r="UX21" s="325"/>
      <c r="UY21" s="131">
        <f t="shared" si="130"/>
        <v>29</v>
      </c>
      <c r="UZ21" s="327"/>
      <c r="VA21" s="200"/>
      <c r="VB21" s="200"/>
      <c r="VC21" s="200"/>
      <c r="VD21" s="200"/>
      <c r="VE21" s="325">
        <v>21</v>
      </c>
      <c r="VF21" s="326"/>
      <c r="VG21" s="134"/>
      <c r="VH21" s="134"/>
      <c r="VI21" s="131">
        <f t="shared" si="119"/>
        <v>21</v>
      </c>
      <c r="VJ21" s="327"/>
      <c r="VK21" s="200"/>
      <c r="VL21" s="200"/>
      <c r="VM21" s="200"/>
      <c r="VN21" s="200"/>
      <c r="VO21" s="325">
        <v>13</v>
      </c>
      <c r="VP21" s="326"/>
      <c r="VQ21" s="134"/>
      <c r="VR21" s="134"/>
      <c r="VS21" s="131">
        <f t="shared" si="55"/>
        <v>13</v>
      </c>
      <c r="VT21" s="327"/>
      <c r="VU21" s="200"/>
      <c r="VV21" s="200"/>
      <c r="VW21" s="200"/>
      <c r="VX21" s="200"/>
      <c r="VY21" s="325">
        <v>6</v>
      </c>
      <c r="VZ21" s="326"/>
      <c r="WA21" s="134"/>
      <c r="WB21" s="134"/>
      <c r="WC21" s="131">
        <f t="shared" si="56"/>
        <v>6</v>
      </c>
      <c r="WD21" s="216">
        <f t="shared" si="98"/>
        <v>0</v>
      </c>
      <c r="WE21" s="217">
        <f t="shared" si="98"/>
        <v>96</v>
      </c>
      <c r="WF21" s="217">
        <v>250</v>
      </c>
      <c r="WG21" s="218">
        <f t="shared" si="57"/>
        <v>0.38400000000000001</v>
      </c>
      <c r="WH21" s="146"/>
      <c r="WI21" s="220" t="s">
        <v>62</v>
      </c>
      <c r="WJ21" s="324"/>
      <c r="WK21" s="200"/>
      <c r="WL21" s="200"/>
      <c r="WM21" s="200"/>
      <c r="WN21" s="200"/>
      <c r="WO21" s="325">
        <v>20</v>
      </c>
      <c r="WP21" s="326"/>
      <c r="WQ21" s="134"/>
      <c r="WR21" s="134"/>
      <c r="WS21" s="131">
        <f t="shared" si="58"/>
        <v>20</v>
      </c>
      <c r="WT21" s="327"/>
      <c r="WU21" s="200"/>
      <c r="WV21" s="200"/>
      <c r="WW21" s="200"/>
      <c r="WX21" s="200"/>
      <c r="WY21" s="325">
        <v>32</v>
      </c>
      <c r="WZ21" s="326"/>
      <c r="XA21" s="134"/>
      <c r="XB21" s="325"/>
      <c r="XC21" s="131">
        <f t="shared" si="131"/>
        <v>32</v>
      </c>
      <c r="XD21" s="327"/>
      <c r="XE21" s="200"/>
      <c r="XF21" s="200"/>
      <c r="XG21" s="200"/>
      <c r="XH21" s="200"/>
      <c r="XI21" s="325">
        <v>19</v>
      </c>
      <c r="XJ21" s="326"/>
      <c r="XK21" s="134"/>
      <c r="XL21" s="134"/>
      <c r="XM21" s="131">
        <f t="shared" si="120"/>
        <v>19</v>
      </c>
      <c r="XN21" s="327"/>
      <c r="XO21" s="200"/>
      <c r="XP21" s="200"/>
      <c r="XQ21" s="200"/>
      <c r="XR21" s="200"/>
      <c r="XS21" s="325">
        <v>27</v>
      </c>
      <c r="XT21" s="326"/>
      <c r="XU21" s="134"/>
      <c r="XV21" s="134"/>
      <c r="XW21" s="131">
        <f t="shared" si="61"/>
        <v>27</v>
      </c>
      <c r="XX21" s="327"/>
      <c r="XY21" s="200"/>
      <c r="XZ21" s="200"/>
      <c r="YA21" s="200"/>
      <c r="YB21" s="200"/>
      <c r="YC21" s="325">
        <v>20</v>
      </c>
      <c r="YD21" s="326"/>
      <c r="YE21" s="134"/>
      <c r="YF21" s="134"/>
      <c r="YG21" s="131">
        <f t="shared" si="62"/>
        <v>20</v>
      </c>
      <c r="YH21" s="221">
        <f t="shared" si="99"/>
        <v>0</v>
      </c>
      <c r="YI21" s="148">
        <f t="shared" si="99"/>
        <v>118</v>
      </c>
      <c r="YJ21" s="222">
        <v>250</v>
      </c>
      <c r="YK21" s="223">
        <f t="shared" si="63"/>
        <v>0.47199999999999998</v>
      </c>
      <c r="YL21" s="150"/>
      <c r="YM21" s="328"/>
      <c r="YN21" s="200"/>
      <c r="YO21" s="200"/>
      <c r="YP21" s="200"/>
      <c r="YQ21" s="200"/>
      <c r="YR21" s="325">
        <v>20</v>
      </c>
      <c r="YS21" s="326"/>
      <c r="YT21" s="134"/>
      <c r="YU21" s="134"/>
      <c r="YV21" s="131">
        <f t="shared" si="121"/>
        <v>20</v>
      </c>
      <c r="YW21" s="327"/>
      <c r="YX21" s="200"/>
      <c r="YY21" s="200"/>
      <c r="YZ21" s="200"/>
      <c r="ZA21" s="200"/>
      <c r="ZB21" s="325">
        <v>39</v>
      </c>
      <c r="ZC21" s="325"/>
      <c r="ZD21" s="325"/>
      <c r="ZE21" s="325"/>
      <c r="ZF21" s="131">
        <f t="shared" si="132"/>
        <v>39</v>
      </c>
      <c r="ZG21" s="327"/>
      <c r="ZH21" s="200"/>
      <c r="ZI21" s="200"/>
      <c r="ZJ21" s="200"/>
      <c r="ZK21" s="200"/>
      <c r="ZL21" s="325">
        <v>52</v>
      </c>
      <c r="ZM21" s="326"/>
      <c r="ZN21" s="134"/>
      <c r="ZO21" s="134"/>
      <c r="ZP21" s="131">
        <f t="shared" si="122"/>
        <v>52</v>
      </c>
      <c r="ZQ21" s="327"/>
      <c r="ZR21" s="200"/>
      <c r="ZS21" s="200"/>
      <c r="ZT21" s="200"/>
      <c r="ZU21" s="200"/>
      <c r="ZV21" s="325">
        <v>57</v>
      </c>
      <c r="ZW21" s="326"/>
      <c r="ZX21" s="134"/>
      <c r="ZY21" s="134"/>
      <c r="ZZ21" s="131">
        <f t="shared" si="67"/>
        <v>57</v>
      </c>
      <c r="AAA21" s="327"/>
      <c r="AAB21" s="200"/>
      <c r="AAC21" s="200"/>
      <c r="AAD21" s="200"/>
      <c r="AAE21" s="200"/>
      <c r="AAF21" s="325">
        <v>14</v>
      </c>
      <c r="AAG21" s="326"/>
      <c r="AAH21" s="134"/>
      <c r="AAI21" s="134"/>
      <c r="AAJ21" s="131">
        <f t="shared" si="68"/>
        <v>14</v>
      </c>
      <c r="AAK21" s="226">
        <f t="shared" si="69"/>
        <v>182</v>
      </c>
      <c r="AAL21" s="226">
        <v>250</v>
      </c>
      <c r="AAM21" s="227">
        <f t="shared" si="70"/>
        <v>0.72799999999999998</v>
      </c>
      <c r="AAN21" s="329" t="s">
        <v>62</v>
      </c>
      <c r="AAO21" s="324"/>
      <c r="AAP21" s="200"/>
      <c r="AAQ21" s="200"/>
      <c r="AAR21" s="200"/>
      <c r="AAS21" s="200"/>
      <c r="AAT21" s="325"/>
      <c r="AAU21" s="326"/>
      <c r="AAV21" s="134"/>
      <c r="AAW21" s="134"/>
      <c r="AAX21" s="155"/>
      <c r="AAY21" s="131">
        <f t="shared" si="123"/>
        <v>0</v>
      </c>
      <c r="AAZ21" s="327"/>
      <c r="ABA21" s="200"/>
      <c r="ABB21" s="200"/>
      <c r="ABC21" s="200"/>
      <c r="ABD21" s="200"/>
      <c r="ABE21" s="325">
        <v>49</v>
      </c>
      <c r="ABF21" s="326"/>
      <c r="ABG21" s="134"/>
      <c r="ABH21" s="134"/>
      <c r="ABI21" s="131">
        <f t="shared" si="71"/>
        <v>49</v>
      </c>
      <c r="ABJ21" s="327"/>
      <c r="ABK21" s="200"/>
      <c r="ABL21" s="200"/>
      <c r="ABM21" s="200"/>
      <c r="ABN21" s="200"/>
      <c r="ABO21" s="325">
        <v>27</v>
      </c>
      <c r="ABP21" s="326"/>
      <c r="ABQ21" s="134"/>
      <c r="ABR21" s="134"/>
      <c r="ABS21" s="131">
        <f t="shared" si="124"/>
        <v>27</v>
      </c>
      <c r="ABT21" s="327"/>
      <c r="ABU21" s="200"/>
      <c r="ABV21" s="200"/>
      <c r="ABW21" s="200"/>
      <c r="ABX21" s="200"/>
      <c r="ABY21" s="325">
        <v>10</v>
      </c>
      <c r="ABZ21" s="326"/>
      <c r="ACA21" s="134"/>
      <c r="ACB21" s="134"/>
      <c r="ACC21" s="131">
        <f t="shared" si="73"/>
        <v>10</v>
      </c>
      <c r="ACD21" s="327"/>
      <c r="ACE21" s="200"/>
      <c r="ACF21" s="200"/>
      <c r="ACG21" s="200"/>
      <c r="ACH21" s="200"/>
      <c r="ACI21" s="325">
        <v>19</v>
      </c>
      <c r="ACJ21" s="326"/>
      <c r="ACK21" s="134"/>
      <c r="ACL21" s="134"/>
      <c r="ACM21" s="131">
        <f t="shared" si="74"/>
        <v>19</v>
      </c>
      <c r="ACN21" s="156">
        <f t="shared" si="75"/>
        <v>0</v>
      </c>
      <c r="ACO21" s="157"/>
      <c r="ACP21" s="229">
        <f t="shared" si="100"/>
        <v>105</v>
      </c>
      <c r="ACQ21" s="229">
        <v>200</v>
      </c>
      <c r="ACR21" s="230">
        <f t="shared" si="101"/>
        <v>0.52500000000000002</v>
      </c>
      <c r="ACS21" s="231">
        <f t="shared" si="76"/>
        <v>677</v>
      </c>
      <c r="ACT21" s="207">
        <f t="shared" si="76"/>
        <v>1200</v>
      </c>
      <c r="ACU21" s="323">
        <f t="shared" si="102"/>
        <v>0.56416666666666671</v>
      </c>
      <c r="ACW21" s="330">
        <f t="shared" si="103"/>
        <v>0.66538888888888892</v>
      </c>
      <c r="ACX21" s="331">
        <v>6</v>
      </c>
    </row>
    <row r="22" spans="1:778" s="102" customFormat="1" x14ac:dyDescent="0.35">
      <c r="A22" s="51" t="s">
        <v>52</v>
      </c>
      <c r="B22" s="165" t="s">
        <v>91</v>
      </c>
      <c r="C22" s="307"/>
      <c r="D22" s="308"/>
      <c r="E22" s="308"/>
      <c r="F22" s="308"/>
      <c r="G22" s="308"/>
      <c r="H22" s="309">
        <v>45</v>
      </c>
      <c r="I22" s="310"/>
      <c r="J22" s="57"/>
      <c r="K22" s="58">
        <f t="shared" si="0"/>
        <v>45</v>
      </c>
      <c r="L22" s="338"/>
      <c r="M22" s="339"/>
      <c r="N22" s="339"/>
      <c r="O22" s="339"/>
      <c r="P22" s="339"/>
      <c r="Q22" s="95">
        <v>51</v>
      </c>
      <c r="R22" s="310"/>
      <c r="S22" s="57"/>
      <c r="T22" s="58">
        <f t="shared" si="1"/>
        <v>51</v>
      </c>
      <c r="U22" s="314"/>
      <c r="V22" s="315"/>
      <c r="W22" s="315"/>
      <c r="X22" s="315"/>
      <c r="Y22" s="315"/>
      <c r="Z22" s="316"/>
      <c r="AA22" s="317"/>
      <c r="AB22" s="66"/>
      <c r="AC22" s="67">
        <f t="shared" si="2"/>
        <v>0</v>
      </c>
      <c r="AD22" s="319"/>
      <c r="AE22" s="308"/>
      <c r="AF22" s="308"/>
      <c r="AG22" s="308"/>
      <c r="AH22" s="308"/>
      <c r="AI22" s="340">
        <v>38</v>
      </c>
      <c r="AJ22" s="310"/>
      <c r="AK22" s="57"/>
      <c r="AL22" s="88">
        <f t="shared" si="3"/>
        <v>38</v>
      </c>
      <c r="AM22" s="319"/>
      <c r="AN22" s="308"/>
      <c r="AO22" s="308"/>
      <c r="AP22" s="308"/>
      <c r="AQ22" s="308"/>
      <c r="AR22" s="377">
        <f>5+25+25</f>
        <v>55</v>
      </c>
      <c r="AS22" s="310"/>
      <c r="AT22" s="57"/>
      <c r="AU22" s="58">
        <f t="shared" si="4"/>
        <v>55</v>
      </c>
      <c r="AV22" s="81">
        <v>187</v>
      </c>
      <c r="AW22" s="82">
        <f t="shared" si="77"/>
        <v>189</v>
      </c>
      <c r="AX22" s="82">
        <v>200</v>
      </c>
      <c r="AY22" s="172">
        <f t="shared" si="5"/>
        <v>0.94499999999999995</v>
      </c>
      <c r="AZ22" s="84"/>
      <c r="BA22" s="307"/>
      <c r="BB22" s="308"/>
      <c r="BC22" s="308"/>
      <c r="BD22" s="308"/>
      <c r="BE22" s="308"/>
      <c r="BF22" s="309">
        <v>25</v>
      </c>
      <c r="BG22" s="310"/>
      <c r="BH22" s="57"/>
      <c r="BI22" s="86">
        <f t="shared" si="6"/>
        <v>25</v>
      </c>
      <c r="BJ22" s="318"/>
      <c r="BK22" s="308"/>
      <c r="BL22" s="339"/>
      <c r="BM22" s="339"/>
      <c r="BN22" s="339"/>
      <c r="BO22" s="340">
        <f>19+9+7+9</f>
        <v>44</v>
      </c>
      <c r="BP22" s="310"/>
      <c r="BQ22" s="57"/>
      <c r="BR22" s="58">
        <f t="shared" si="7"/>
        <v>44</v>
      </c>
      <c r="BS22" s="319"/>
      <c r="BT22" s="308"/>
      <c r="BU22" s="308"/>
      <c r="BV22" s="308"/>
      <c r="BW22" s="308"/>
      <c r="BX22" s="340">
        <f>30+19</f>
        <v>49</v>
      </c>
      <c r="BY22" s="310"/>
      <c r="BZ22" s="57"/>
      <c r="CA22" s="58">
        <f t="shared" si="105"/>
        <v>49</v>
      </c>
      <c r="CB22" s="319"/>
      <c r="CC22" s="308"/>
      <c r="CD22" s="308"/>
      <c r="CE22" s="308"/>
      <c r="CF22" s="308"/>
      <c r="CG22" s="309">
        <v>33</v>
      </c>
      <c r="CH22" s="310"/>
      <c r="CI22" s="57"/>
      <c r="CJ22" s="88">
        <f t="shared" si="106"/>
        <v>33</v>
      </c>
      <c r="CK22" s="319"/>
      <c r="CL22" s="308"/>
      <c r="CM22" s="308"/>
      <c r="CN22" s="308"/>
      <c r="CO22" s="308"/>
      <c r="CP22" s="377">
        <f>22+6+22</f>
        <v>50</v>
      </c>
      <c r="CQ22" s="310"/>
      <c r="CR22" s="57"/>
      <c r="CS22" s="91">
        <f t="shared" si="78"/>
        <v>50</v>
      </c>
      <c r="CT22" s="92">
        <v>202</v>
      </c>
      <c r="CU22" s="93">
        <f t="shared" si="79"/>
        <v>201</v>
      </c>
      <c r="CV22" s="93">
        <v>250</v>
      </c>
      <c r="CW22" s="175">
        <f t="shared" si="8"/>
        <v>0.80400000000000005</v>
      </c>
      <c r="CX22" s="95"/>
      <c r="CY22" s="307"/>
      <c r="CZ22" s="308"/>
      <c r="DA22" s="308"/>
      <c r="DB22" s="308"/>
      <c r="DC22" s="308"/>
      <c r="DD22" s="309">
        <f>27+6</f>
        <v>33</v>
      </c>
      <c r="DE22" s="310"/>
      <c r="DF22" s="57"/>
      <c r="DG22" s="58">
        <f t="shared" si="9"/>
        <v>33</v>
      </c>
      <c r="DH22" s="319"/>
      <c r="DI22" s="308"/>
      <c r="DJ22" s="339"/>
      <c r="DK22" s="339"/>
      <c r="DL22" s="339"/>
      <c r="DM22" s="340">
        <f>26+15</f>
        <v>41</v>
      </c>
      <c r="DN22" s="310"/>
      <c r="DO22" s="57"/>
      <c r="DP22" s="58">
        <f t="shared" si="10"/>
        <v>41</v>
      </c>
      <c r="DQ22" s="319"/>
      <c r="DR22" s="308"/>
      <c r="DS22" s="308"/>
      <c r="DT22" s="308"/>
      <c r="DU22" s="308"/>
      <c r="DV22" s="340">
        <v>27</v>
      </c>
      <c r="DW22" s="310"/>
      <c r="DX22" s="57"/>
      <c r="DY22" s="58">
        <f t="shared" si="80"/>
        <v>27</v>
      </c>
      <c r="DZ22" s="319"/>
      <c r="EA22" s="308"/>
      <c r="EB22" s="308"/>
      <c r="EC22" s="308"/>
      <c r="ED22" s="308"/>
      <c r="EE22" s="309">
        <v>39</v>
      </c>
      <c r="EF22" s="310"/>
      <c r="EG22" s="57"/>
      <c r="EH22" s="96">
        <f t="shared" si="81"/>
        <v>39</v>
      </c>
      <c r="EI22" s="379"/>
      <c r="EJ22" s="308"/>
      <c r="EK22" s="308"/>
      <c r="EL22" s="308"/>
      <c r="EM22" s="308"/>
      <c r="EN22" s="377">
        <v>31</v>
      </c>
      <c r="EO22" s="310"/>
      <c r="EP22" s="57"/>
      <c r="EQ22" s="98">
        <f t="shared" si="82"/>
        <v>31</v>
      </c>
      <c r="ER22" s="99">
        <v>180</v>
      </c>
      <c r="ES22" s="100">
        <f t="shared" si="111"/>
        <v>171</v>
      </c>
      <c r="ET22" s="346">
        <v>250</v>
      </c>
      <c r="EU22" s="177">
        <f t="shared" si="11"/>
        <v>0.68400000000000005</v>
      </c>
      <c r="EW22" s="307"/>
      <c r="EX22" s="308"/>
      <c r="EY22" s="308"/>
      <c r="EZ22" s="308"/>
      <c r="FA22" s="308"/>
      <c r="FB22" s="309">
        <v>58</v>
      </c>
      <c r="FC22" s="310"/>
      <c r="FD22" s="57"/>
      <c r="FE22" s="58">
        <f t="shared" si="12"/>
        <v>58</v>
      </c>
      <c r="FF22" s="319"/>
      <c r="FG22" s="308"/>
      <c r="FH22" s="339"/>
      <c r="FI22" s="339"/>
      <c r="FJ22" s="339"/>
      <c r="FK22" s="340">
        <v>60</v>
      </c>
      <c r="FL22" s="310"/>
      <c r="FM22" s="57"/>
      <c r="FN22" s="58">
        <f t="shared" si="13"/>
        <v>60</v>
      </c>
      <c r="FO22" s="319"/>
      <c r="FP22" s="308"/>
      <c r="FQ22" s="308"/>
      <c r="FR22" s="308"/>
      <c r="FS22" s="308"/>
      <c r="FT22" s="340">
        <v>67</v>
      </c>
      <c r="FU22" s="310"/>
      <c r="FV22" s="57"/>
      <c r="FW22" s="58">
        <f t="shared" si="83"/>
        <v>67</v>
      </c>
      <c r="FX22" s="319"/>
      <c r="FY22" s="308"/>
      <c r="FZ22" s="308"/>
      <c r="GA22" s="308"/>
      <c r="GB22" s="308"/>
      <c r="GC22" s="309">
        <v>74</v>
      </c>
      <c r="GD22" s="310"/>
      <c r="GE22" s="57"/>
      <c r="GF22" s="58">
        <f t="shared" si="84"/>
        <v>74</v>
      </c>
      <c r="GG22" s="319"/>
      <c r="GH22" s="308"/>
      <c r="GI22" s="308"/>
      <c r="GJ22" s="308"/>
      <c r="GK22" s="308"/>
      <c r="GL22" s="377">
        <v>88</v>
      </c>
      <c r="GM22" s="310"/>
      <c r="GN22" s="57"/>
      <c r="GO22" s="58">
        <f t="shared" si="85"/>
        <v>88</v>
      </c>
      <c r="GP22" s="103">
        <v>333</v>
      </c>
      <c r="GQ22" s="104">
        <f t="shared" si="135"/>
        <v>347</v>
      </c>
      <c r="GR22" s="104">
        <v>250</v>
      </c>
      <c r="GS22" s="178">
        <f t="shared" si="14"/>
        <v>1.3879999999999999</v>
      </c>
      <c r="GT22" s="307"/>
      <c r="GU22" s="308"/>
      <c r="GV22" s="308"/>
      <c r="GW22" s="308"/>
      <c r="GX22" s="308"/>
      <c r="GY22" s="309"/>
      <c r="GZ22" s="310"/>
      <c r="HA22" s="57"/>
      <c r="HB22" s="57"/>
      <c r="HC22" s="58">
        <f t="shared" si="15"/>
        <v>0</v>
      </c>
      <c r="HD22" s="319"/>
      <c r="HE22" s="308"/>
      <c r="HF22" s="339"/>
      <c r="HG22" s="339"/>
      <c r="HH22" s="339"/>
      <c r="HI22" s="340"/>
      <c r="HJ22" s="310"/>
      <c r="HK22" s="57"/>
      <c r="HL22" s="57"/>
      <c r="HM22" s="58">
        <f t="shared" si="16"/>
        <v>0</v>
      </c>
      <c r="HN22" s="319"/>
      <c r="HO22" s="308"/>
      <c r="HP22" s="308"/>
      <c r="HQ22" s="308"/>
      <c r="HR22" s="308"/>
      <c r="HS22" s="340"/>
      <c r="HT22" s="310"/>
      <c r="HU22" s="57"/>
      <c r="HV22" s="57"/>
      <c r="HW22" s="58">
        <f t="shared" si="17"/>
        <v>0</v>
      </c>
      <c r="HX22" s="319"/>
      <c r="HY22" s="308"/>
      <c r="HZ22" s="308"/>
      <c r="IA22" s="308"/>
      <c r="IB22" s="308"/>
      <c r="IC22" s="309"/>
      <c r="ID22" s="310"/>
      <c r="IE22" s="57"/>
      <c r="IF22" s="57"/>
      <c r="IG22" s="88">
        <f t="shared" si="18"/>
        <v>0</v>
      </c>
      <c r="IH22" s="319"/>
      <c r="II22" s="308"/>
      <c r="IJ22" s="308"/>
      <c r="IK22" s="308"/>
      <c r="IL22" s="308"/>
      <c r="IM22" s="377"/>
      <c r="IN22" s="310"/>
      <c r="IO22" s="57"/>
      <c r="IP22" s="57"/>
      <c r="IQ22" s="58">
        <f t="shared" si="19"/>
        <v>0</v>
      </c>
      <c r="IR22" s="106"/>
      <c r="IS22" s="107"/>
      <c r="IT22" s="107"/>
      <c r="IU22" s="179"/>
      <c r="IV22" s="95"/>
      <c r="IW22" s="109">
        <f t="shared" si="87"/>
        <v>902</v>
      </c>
      <c r="IX22" s="110">
        <f t="shared" si="87"/>
        <v>908</v>
      </c>
      <c r="IY22" s="110">
        <f t="shared" si="87"/>
        <v>950</v>
      </c>
      <c r="IZ22" s="347">
        <f t="shared" si="20"/>
        <v>0.95578947368421052</v>
      </c>
      <c r="JB22" s="182" t="s">
        <v>63</v>
      </c>
      <c r="JC22" s="327"/>
      <c r="JD22" s="200"/>
      <c r="JE22" s="200"/>
      <c r="JF22" s="200"/>
      <c r="JG22" s="200"/>
      <c r="JH22" s="325">
        <v>51</v>
      </c>
      <c r="JI22" s="310"/>
      <c r="JJ22" s="57"/>
      <c r="JK22" s="57"/>
      <c r="JL22" s="58">
        <f t="shared" si="112"/>
        <v>51</v>
      </c>
      <c r="JM22" s="358"/>
      <c r="JN22" s="200"/>
      <c r="JO22" s="200"/>
      <c r="JP22" s="200"/>
      <c r="JQ22" s="200"/>
      <c r="JR22" s="325">
        <v>46</v>
      </c>
      <c r="JS22" s="310"/>
      <c r="JT22" s="57"/>
      <c r="JU22" s="57"/>
      <c r="JV22" s="58">
        <f t="shared" si="125"/>
        <v>46</v>
      </c>
      <c r="JW22" s="358"/>
      <c r="JX22" s="200"/>
      <c r="JY22" s="200"/>
      <c r="JZ22" s="200"/>
      <c r="KA22" s="200"/>
      <c r="KB22" s="325">
        <v>48</v>
      </c>
      <c r="KC22" s="310"/>
      <c r="KD22" s="57"/>
      <c r="KE22" s="57"/>
      <c r="KF22" s="58">
        <f t="shared" si="23"/>
        <v>48</v>
      </c>
      <c r="KG22" s="358"/>
      <c r="KH22" s="200"/>
      <c r="KI22" s="200"/>
      <c r="KJ22" s="200"/>
      <c r="KK22" s="200">
        <v>63</v>
      </c>
      <c r="KL22" s="325"/>
      <c r="KM22" s="310"/>
      <c r="KN22" s="57">
        <v>1</v>
      </c>
      <c r="KO22" s="57"/>
      <c r="KP22" s="88">
        <f t="shared" si="24"/>
        <v>63</v>
      </c>
      <c r="KQ22" s="358"/>
      <c r="KR22" s="200"/>
      <c r="KS22" s="200"/>
      <c r="KT22" s="200"/>
      <c r="KU22" s="200"/>
      <c r="KV22" s="325">
        <v>41</v>
      </c>
      <c r="KW22" s="56"/>
      <c r="KX22" s="57">
        <v>266</v>
      </c>
      <c r="KY22" s="57"/>
      <c r="KZ22" s="58">
        <f t="shared" si="25"/>
        <v>41</v>
      </c>
      <c r="LA22" s="81">
        <f t="shared" si="107"/>
        <v>266</v>
      </c>
      <c r="LB22" s="82">
        <f t="shared" si="26"/>
        <v>249</v>
      </c>
      <c r="LC22" s="348">
        <v>250</v>
      </c>
      <c r="LD22" s="82">
        <f t="shared" si="88"/>
        <v>-1</v>
      </c>
      <c r="LE22" s="192">
        <f t="shared" si="89"/>
        <v>0.996</v>
      </c>
      <c r="LF22" s="115"/>
      <c r="LG22" s="322" t="s">
        <v>63</v>
      </c>
      <c r="LH22" s="327"/>
      <c r="LI22" s="200"/>
      <c r="LJ22" s="200"/>
      <c r="LK22" s="200"/>
      <c r="LL22" s="200"/>
      <c r="LM22" s="325">
        <v>72</v>
      </c>
      <c r="LN22" s="310"/>
      <c r="LO22" s="57"/>
      <c r="LP22" s="57"/>
      <c r="LQ22" s="58">
        <f t="shared" si="113"/>
        <v>72</v>
      </c>
      <c r="LR22" s="358"/>
      <c r="LS22" s="200"/>
      <c r="LT22" s="200"/>
      <c r="LU22" s="200"/>
      <c r="LV22" s="200"/>
      <c r="LW22" s="325">
        <v>37</v>
      </c>
      <c r="LX22" s="310"/>
      <c r="LY22" s="57"/>
      <c r="LZ22" s="462"/>
      <c r="MA22" s="58">
        <f t="shared" si="126"/>
        <v>37</v>
      </c>
      <c r="MB22" s="358"/>
      <c r="MC22" s="200"/>
      <c r="MD22" s="200"/>
      <c r="ME22" s="200"/>
      <c r="MF22" s="200"/>
      <c r="MG22" s="325">
        <v>45</v>
      </c>
      <c r="MH22" s="310"/>
      <c r="MI22" s="57"/>
      <c r="MJ22" s="57"/>
      <c r="MK22" s="58">
        <f t="shared" si="29"/>
        <v>45</v>
      </c>
      <c r="ML22" s="358"/>
      <c r="MM22" s="200"/>
      <c r="MN22" s="200"/>
      <c r="MO22" s="200"/>
      <c r="MP22" s="200"/>
      <c r="MQ22" s="325">
        <v>9</v>
      </c>
      <c r="MR22" s="310"/>
      <c r="MS22" s="57"/>
      <c r="MT22" s="57"/>
      <c r="MU22" s="88">
        <f t="shared" si="30"/>
        <v>9</v>
      </c>
      <c r="MV22" s="358"/>
      <c r="MW22" s="200"/>
      <c r="MX22" s="200"/>
      <c r="MY22" s="200"/>
      <c r="MZ22" s="200"/>
      <c r="NA22" s="325">
        <v>31</v>
      </c>
      <c r="NB22" s="310"/>
      <c r="NC22" s="57">
        <v>218</v>
      </c>
      <c r="ND22" s="57"/>
      <c r="NE22" s="58">
        <f t="shared" si="31"/>
        <v>31</v>
      </c>
      <c r="NF22" s="117">
        <f t="shared" si="90"/>
        <v>218</v>
      </c>
      <c r="NG22" s="93">
        <f t="shared" si="32"/>
        <v>194</v>
      </c>
      <c r="NH22" s="349">
        <v>251</v>
      </c>
      <c r="NI22" s="93">
        <f t="shared" si="91"/>
        <v>-57</v>
      </c>
      <c r="NJ22" s="196">
        <f t="shared" si="108"/>
        <v>0.77290836653386452</v>
      </c>
      <c r="NK22" s="366"/>
      <c r="NL22" s="322" t="s">
        <v>63</v>
      </c>
      <c r="NM22" s="327"/>
      <c r="NN22" s="200"/>
      <c r="NO22" s="200"/>
      <c r="NP22" s="200"/>
      <c r="NQ22" s="200"/>
      <c r="NR22" s="325">
        <v>17</v>
      </c>
      <c r="NS22" s="310"/>
      <c r="NT22" s="57"/>
      <c r="NU22" s="57"/>
      <c r="NV22" s="58">
        <f t="shared" si="114"/>
        <v>17</v>
      </c>
      <c r="NW22" s="358"/>
      <c r="NX22" s="200"/>
      <c r="NY22" s="200"/>
      <c r="NZ22" s="200"/>
      <c r="OA22" s="200"/>
      <c r="OB22" s="325">
        <v>24</v>
      </c>
      <c r="OC22" s="310"/>
      <c r="OD22" s="57"/>
      <c r="OE22" s="462"/>
      <c r="OF22" s="58">
        <f t="shared" si="127"/>
        <v>24</v>
      </c>
      <c r="OG22" s="358"/>
      <c r="OH22" s="200"/>
      <c r="OI22" s="200"/>
      <c r="OJ22" s="200"/>
      <c r="OK22" s="200"/>
      <c r="OL22" s="325">
        <v>17</v>
      </c>
      <c r="OM22" s="310"/>
      <c r="ON22" s="57"/>
      <c r="OO22" s="57"/>
      <c r="OP22" s="58">
        <f t="shared" si="35"/>
        <v>17</v>
      </c>
      <c r="OQ22" s="358"/>
      <c r="OR22" s="200"/>
      <c r="OS22" s="200"/>
      <c r="OT22" s="200"/>
      <c r="OU22" s="200"/>
      <c r="OV22" s="325">
        <v>39</v>
      </c>
      <c r="OW22" s="310"/>
      <c r="OX22" s="57"/>
      <c r="OY22" s="57"/>
      <c r="OZ22" s="88">
        <f t="shared" si="36"/>
        <v>39</v>
      </c>
      <c r="PA22" s="358"/>
      <c r="PB22" s="200"/>
      <c r="PC22" s="200"/>
      <c r="PD22" s="200"/>
      <c r="PE22" s="200"/>
      <c r="PF22" s="325">
        <v>47</v>
      </c>
      <c r="PG22" s="310"/>
      <c r="PH22" s="57"/>
      <c r="PI22" s="57"/>
      <c r="PJ22" s="58">
        <f t="shared" si="37"/>
        <v>47</v>
      </c>
      <c r="PK22" s="99">
        <f t="shared" si="38"/>
        <v>0</v>
      </c>
      <c r="PL22" s="100">
        <f t="shared" si="39"/>
        <v>144</v>
      </c>
      <c r="PM22" s="346">
        <v>250</v>
      </c>
      <c r="PN22" s="100">
        <f t="shared" si="92"/>
        <v>-106</v>
      </c>
      <c r="PO22" s="198">
        <f t="shared" si="109"/>
        <v>0.57599999999999996</v>
      </c>
      <c r="PP22" s="366"/>
      <c r="PQ22" s="322" t="s">
        <v>63</v>
      </c>
      <c r="PR22" s="318"/>
      <c r="PS22" s="308"/>
      <c r="PT22" s="308"/>
      <c r="PU22" s="308"/>
      <c r="PV22" s="308"/>
      <c r="PW22" s="309">
        <v>23</v>
      </c>
      <c r="PX22" s="310"/>
      <c r="PY22" s="57"/>
      <c r="PZ22" s="57"/>
      <c r="QA22" s="58">
        <f t="shared" si="115"/>
        <v>23</v>
      </c>
      <c r="QB22" s="319"/>
      <c r="QC22" s="308"/>
      <c r="QD22" s="339"/>
      <c r="QE22" s="339"/>
      <c r="QF22" s="339"/>
      <c r="QG22" s="340">
        <v>72</v>
      </c>
      <c r="QH22" s="310"/>
      <c r="QI22" s="57"/>
      <c r="QJ22" s="57"/>
      <c r="QK22" s="58">
        <f t="shared" si="128"/>
        <v>72</v>
      </c>
      <c r="QL22" s="319"/>
      <c r="QM22" s="308"/>
      <c r="QN22" s="308"/>
      <c r="QO22" s="308"/>
      <c r="QP22" s="308"/>
      <c r="QQ22" s="340">
        <v>26</v>
      </c>
      <c r="QR22" s="310"/>
      <c r="QS22" s="57"/>
      <c r="QT22" s="57"/>
      <c r="QU22" s="58">
        <f t="shared" si="42"/>
        <v>26</v>
      </c>
      <c r="QV22" s="319"/>
      <c r="QW22" s="308"/>
      <c r="QX22" s="308"/>
      <c r="QY22" s="308"/>
      <c r="QZ22" s="308"/>
      <c r="RA22" s="309">
        <v>80</v>
      </c>
      <c r="RB22" s="310"/>
      <c r="RC22" s="57"/>
      <c r="RD22" s="57"/>
      <c r="RE22" s="88">
        <f t="shared" si="43"/>
        <v>80</v>
      </c>
      <c r="RF22" s="319"/>
      <c r="RG22" s="308"/>
      <c r="RH22" s="308"/>
      <c r="RI22" s="308"/>
      <c r="RJ22" s="308"/>
      <c r="RK22" s="377">
        <v>52</v>
      </c>
      <c r="RL22" s="310"/>
      <c r="RM22" s="57">
        <v>287</v>
      </c>
      <c r="RN22" s="57"/>
      <c r="RO22" s="58">
        <f t="shared" si="44"/>
        <v>52</v>
      </c>
      <c r="RP22" s="121">
        <f t="shared" si="93"/>
        <v>287</v>
      </c>
      <c r="RQ22" s="104">
        <f t="shared" si="45"/>
        <v>253</v>
      </c>
      <c r="RR22" s="350">
        <v>250</v>
      </c>
      <c r="RS22" s="104">
        <f t="shared" si="94"/>
        <v>3</v>
      </c>
      <c r="RT22" s="205">
        <f t="shared" si="110"/>
        <v>1.012</v>
      </c>
      <c r="RU22" s="140"/>
      <c r="RV22" s="123">
        <f t="shared" si="95"/>
        <v>771</v>
      </c>
      <c r="RW22" s="124">
        <f t="shared" si="95"/>
        <v>840</v>
      </c>
      <c r="RX22" s="124">
        <f t="shared" si="95"/>
        <v>1001</v>
      </c>
      <c r="RY22" s="125">
        <f t="shared" si="96"/>
        <v>0.83916083916083917</v>
      </c>
      <c r="SA22" s="165" t="s">
        <v>63</v>
      </c>
      <c r="SB22" s="324"/>
      <c r="SC22" s="200"/>
      <c r="SD22" s="200"/>
      <c r="SE22" s="200"/>
      <c r="SF22" s="200"/>
      <c r="SG22" s="325">
        <v>30</v>
      </c>
      <c r="SH22" s="326"/>
      <c r="SI22" s="134"/>
      <c r="SJ22" s="134"/>
      <c r="SK22" s="131">
        <f t="shared" si="116"/>
        <v>30</v>
      </c>
      <c r="SL22" s="327"/>
      <c r="SM22" s="200"/>
      <c r="SN22" s="200"/>
      <c r="SO22" s="200"/>
      <c r="SP22" s="200"/>
      <c r="SQ22" s="325">
        <v>35</v>
      </c>
      <c r="SR22" s="326"/>
      <c r="SS22" s="134"/>
      <c r="ST22" s="134"/>
      <c r="SU22" s="131">
        <f t="shared" si="129"/>
        <v>35</v>
      </c>
      <c r="SV22" s="327"/>
      <c r="SW22" s="200"/>
      <c r="SX22" s="200"/>
      <c r="SY22" s="200"/>
      <c r="SZ22" s="200"/>
      <c r="TA22" s="325">
        <v>19</v>
      </c>
      <c r="TB22" s="326"/>
      <c r="TC22" s="134"/>
      <c r="TD22" s="134"/>
      <c r="TE22" s="131">
        <f t="shared" si="117"/>
        <v>19</v>
      </c>
      <c r="TF22" s="327"/>
      <c r="TG22" s="200"/>
      <c r="TH22" s="200"/>
      <c r="TI22" s="200"/>
      <c r="TJ22" s="200"/>
      <c r="TK22" s="325">
        <v>48</v>
      </c>
      <c r="TL22" s="326"/>
      <c r="TM22" s="134"/>
      <c r="TN22" s="134"/>
      <c r="TO22" s="131">
        <f t="shared" si="49"/>
        <v>48</v>
      </c>
      <c r="TP22" s="327"/>
      <c r="TQ22" s="200"/>
      <c r="TR22" s="200"/>
      <c r="TS22" s="200"/>
      <c r="TT22" s="200"/>
      <c r="TU22" s="325">
        <v>39</v>
      </c>
      <c r="TV22" s="326"/>
      <c r="TW22" s="134"/>
      <c r="TX22" s="134"/>
      <c r="TY22" s="136">
        <f t="shared" si="50"/>
        <v>39</v>
      </c>
      <c r="TZ22" s="209">
        <f t="shared" si="97"/>
        <v>0</v>
      </c>
      <c r="UA22" s="210">
        <f t="shared" si="97"/>
        <v>171</v>
      </c>
      <c r="UB22" s="210">
        <v>250</v>
      </c>
      <c r="UC22" s="211">
        <f t="shared" si="51"/>
        <v>0.68400000000000005</v>
      </c>
      <c r="UD22" s="140"/>
      <c r="UE22" s="220" t="s">
        <v>63</v>
      </c>
      <c r="UF22" s="324"/>
      <c r="UG22" s="200"/>
      <c r="UH22" s="200"/>
      <c r="UI22" s="200"/>
      <c r="UJ22" s="200"/>
      <c r="UK22" s="325">
        <v>40</v>
      </c>
      <c r="UL22" s="326"/>
      <c r="UM22" s="134"/>
      <c r="UN22" s="134"/>
      <c r="UO22" s="131">
        <f t="shared" si="118"/>
        <v>40</v>
      </c>
      <c r="UP22" s="327"/>
      <c r="UQ22" s="200"/>
      <c r="UR22" s="200"/>
      <c r="US22" s="200"/>
      <c r="UT22" s="200"/>
      <c r="UU22" s="325">
        <v>22</v>
      </c>
      <c r="UV22" s="326"/>
      <c r="UW22" s="134"/>
      <c r="UX22" s="134"/>
      <c r="UY22" s="131">
        <f t="shared" si="130"/>
        <v>22</v>
      </c>
      <c r="UZ22" s="327"/>
      <c r="VA22" s="200"/>
      <c r="VB22" s="200"/>
      <c r="VC22" s="200"/>
      <c r="VD22" s="200"/>
      <c r="VE22" s="325">
        <v>28</v>
      </c>
      <c r="VF22" s="326"/>
      <c r="VG22" s="134"/>
      <c r="VH22" s="134"/>
      <c r="VI22" s="131">
        <f t="shared" si="119"/>
        <v>28</v>
      </c>
      <c r="VJ22" s="327"/>
      <c r="VK22" s="200"/>
      <c r="VL22" s="200"/>
      <c r="VM22" s="200"/>
      <c r="VN22" s="200"/>
      <c r="VO22" s="325">
        <v>25</v>
      </c>
      <c r="VP22" s="326"/>
      <c r="VQ22" s="134"/>
      <c r="VR22" s="134"/>
      <c r="VS22" s="131">
        <f t="shared" si="55"/>
        <v>25</v>
      </c>
      <c r="VT22" s="327"/>
      <c r="VU22" s="200"/>
      <c r="VV22" s="200"/>
      <c r="VW22" s="200"/>
      <c r="VX22" s="200"/>
      <c r="VY22" s="325">
        <v>38</v>
      </c>
      <c r="VZ22" s="326"/>
      <c r="WA22" s="134"/>
      <c r="WB22" s="134"/>
      <c r="WC22" s="131">
        <f t="shared" si="56"/>
        <v>38</v>
      </c>
      <c r="WD22" s="216">
        <f t="shared" si="98"/>
        <v>0</v>
      </c>
      <c r="WE22" s="217">
        <f t="shared" si="98"/>
        <v>153</v>
      </c>
      <c r="WF22" s="217">
        <v>250</v>
      </c>
      <c r="WG22" s="218">
        <f t="shared" si="57"/>
        <v>0.61199999999999999</v>
      </c>
      <c r="WH22" s="146"/>
      <c r="WI22" s="220" t="s">
        <v>63</v>
      </c>
      <c r="WJ22" s="324"/>
      <c r="WK22" s="200"/>
      <c r="WL22" s="200"/>
      <c r="WM22" s="200"/>
      <c r="WN22" s="200"/>
      <c r="WO22" s="325">
        <v>32</v>
      </c>
      <c r="WP22" s="326"/>
      <c r="WQ22" s="134"/>
      <c r="WR22" s="134"/>
      <c r="WS22" s="131">
        <f t="shared" si="58"/>
        <v>32</v>
      </c>
      <c r="WT22" s="327"/>
      <c r="WU22" s="200"/>
      <c r="WV22" s="200"/>
      <c r="WW22" s="200"/>
      <c r="WX22" s="200"/>
      <c r="WY22" s="325">
        <v>32</v>
      </c>
      <c r="WZ22" s="326"/>
      <c r="XA22" s="134"/>
      <c r="XB22" s="134"/>
      <c r="XC22" s="131">
        <f t="shared" si="131"/>
        <v>32</v>
      </c>
      <c r="XD22" s="327"/>
      <c r="XE22" s="200"/>
      <c r="XF22" s="200"/>
      <c r="XG22" s="200"/>
      <c r="XH22" s="200"/>
      <c r="XI22" s="325">
        <v>48</v>
      </c>
      <c r="XJ22" s="326"/>
      <c r="XK22" s="134"/>
      <c r="XL22" s="134"/>
      <c r="XM22" s="131">
        <f t="shared" si="120"/>
        <v>48</v>
      </c>
      <c r="XN22" s="327"/>
      <c r="XO22" s="200"/>
      <c r="XP22" s="200"/>
      <c r="XQ22" s="200"/>
      <c r="XR22" s="200"/>
      <c r="XS22" s="325">
        <v>33</v>
      </c>
      <c r="XT22" s="326"/>
      <c r="XU22" s="134"/>
      <c r="XV22" s="134"/>
      <c r="XW22" s="131">
        <f t="shared" si="61"/>
        <v>33</v>
      </c>
      <c r="XX22" s="327"/>
      <c r="XY22" s="200"/>
      <c r="XZ22" s="200"/>
      <c r="YA22" s="200"/>
      <c r="YB22" s="200"/>
      <c r="YC22" s="325">
        <v>38</v>
      </c>
      <c r="YD22" s="326"/>
      <c r="YE22" s="134"/>
      <c r="YF22" s="134"/>
      <c r="YG22" s="131">
        <f t="shared" si="62"/>
        <v>38</v>
      </c>
      <c r="YH22" s="221">
        <f t="shared" si="99"/>
        <v>0</v>
      </c>
      <c r="YI22" s="148">
        <f t="shared" si="99"/>
        <v>183</v>
      </c>
      <c r="YJ22" s="222">
        <v>250</v>
      </c>
      <c r="YK22" s="223">
        <f t="shared" si="63"/>
        <v>0.73199999999999998</v>
      </c>
      <c r="YL22" s="150"/>
      <c r="YM22" s="328"/>
      <c r="YN22" s="200"/>
      <c r="YO22" s="200"/>
      <c r="YP22" s="200"/>
      <c r="YQ22" s="200"/>
      <c r="YR22" s="325">
        <v>47</v>
      </c>
      <c r="YS22" s="326"/>
      <c r="YT22" s="134"/>
      <c r="YU22" s="134"/>
      <c r="YV22" s="131">
        <f t="shared" si="121"/>
        <v>47</v>
      </c>
      <c r="YW22" s="327"/>
      <c r="YX22" s="200"/>
      <c r="YY22" s="200"/>
      <c r="YZ22" s="200"/>
      <c r="ZA22" s="200"/>
      <c r="ZB22" s="325">
        <v>35</v>
      </c>
      <c r="ZC22" s="326"/>
      <c r="ZD22" s="134"/>
      <c r="ZE22" s="134"/>
      <c r="ZF22" s="131">
        <f t="shared" si="132"/>
        <v>35</v>
      </c>
      <c r="ZG22" s="327"/>
      <c r="ZH22" s="200"/>
      <c r="ZI22" s="200"/>
      <c r="ZJ22" s="200"/>
      <c r="ZK22" s="200"/>
      <c r="ZL22" s="325">
        <v>37</v>
      </c>
      <c r="ZM22" s="326"/>
      <c r="ZN22" s="134"/>
      <c r="ZO22" s="134"/>
      <c r="ZP22" s="131">
        <f t="shared" si="122"/>
        <v>37</v>
      </c>
      <c r="ZQ22" s="327"/>
      <c r="ZR22" s="200"/>
      <c r="ZS22" s="200"/>
      <c r="ZT22" s="200"/>
      <c r="ZU22" s="200"/>
      <c r="ZV22" s="325">
        <v>32</v>
      </c>
      <c r="ZW22" s="326"/>
      <c r="ZX22" s="134"/>
      <c r="ZY22" s="134"/>
      <c r="ZZ22" s="131">
        <f t="shared" si="67"/>
        <v>32</v>
      </c>
      <c r="AAA22" s="327"/>
      <c r="AAB22" s="200"/>
      <c r="AAC22" s="200"/>
      <c r="AAD22" s="200"/>
      <c r="AAE22" s="200"/>
      <c r="AAF22" s="325">
        <v>21</v>
      </c>
      <c r="AAG22" s="326"/>
      <c r="AAH22" s="134"/>
      <c r="AAI22" s="134"/>
      <c r="AAJ22" s="131">
        <f t="shared" si="68"/>
        <v>21</v>
      </c>
      <c r="AAK22" s="226">
        <f t="shared" si="69"/>
        <v>172</v>
      </c>
      <c r="AAL22" s="226">
        <v>250</v>
      </c>
      <c r="AAM22" s="227">
        <f t="shared" si="70"/>
        <v>0.68799999999999994</v>
      </c>
      <c r="AAN22" s="329" t="s">
        <v>63</v>
      </c>
      <c r="AAO22" s="324"/>
      <c r="AAP22" s="200"/>
      <c r="AAQ22" s="200"/>
      <c r="AAR22" s="200"/>
      <c r="AAS22" s="200"/>
      <c r="AAT22" s="325"/>
      <c r="AAU22" s="326"/>
      <c r="AAV22" s="134"/>
      <c r="AAW22" s="134"/>
      <c r="AAX22" s="155"/>
      <c r="AAY22" s="131">
        <f t="shared" si="123"/>
        <v>0</v>
      </c>
      <c r="AAZ22" s="327"/>
      <c r="ABA22" s="200"/>
      <c r="ABB22" s="200"/>
      <c r="ABC22" s="200"/>
      <c r="ABD22" s="200"/>
      <c r="ABE22" s="325">
        <v>40</v>
      </c>
      <c r="ABF22" s="326"/>
      <c r="ABG22" s="134"/>
      <c r="ABH22" s="134"/>
      <c r="ABI22" s="131">
        <f t="shared" si="71"/>
        <v>40</v>
      </c>
      <c r="ABJ22" s="327"/>
      <c r="ABK22" s="200"/>
      <c r="ABL22" s="200"/>
      <c r="ABM22" s="200"/>
      <c r="ABN22" s="200"/>
      <c r="ABO22" s="325">
        <v>15</v>
      </c>
      <c r="ABP22" s="326"/>
      <c r="ABQ22" s="134"/>
      <c r="ABR22" s="134"/>
      <c r="ABS22" s="131">
        <f t="shared" si="124"/>
        <v>15</v>
      </c>
      <c r="ABT22" s="327"/>
      <c r="ABU22" s="200"/>
      <c r="ABV22" s="200"/>
      <c r="ABW22" s="200"/>
      <c r="ABX22" s="200"/>
      <c r="ABY22" s="325">
        <v>17</v>
      </c>
      <c r="ABZ22" s="326"/>
      <c r="ACA22" s="134"/>
      <c r="ACB22" s="134"/>
      <c r="ACC22" s="131">
        <f t="shared" si="73"/>
        <v>17</v>
      </c>
      <c r="ACD22" s="327"/>
      <c r="ACE22" s="200"/>
      <c r="ACF22" s="200"/>
      <c r="ACG22" s="200"/>
      <c r="ACH22" s="200"/>
      <c r="ACI22" s="325">
        <v>61</v>
      </c>
      <c r="ACJ22" s="326"/>
      <c r="ACK22" s="134"/>
      <c r="ACL22" s="134"/>
      <c r="ACM22" s="131">
        <f t="shared" si="74"/>
        <v>61</v>
      </c>
      <c r="ACN22" s="156">
        <f t="shared" si="75"/>
        <v>0</v>
      </c>
      <c r="ACO22" s="157"/>
      <c r="ACP22" s="229">
        <f t="shared" si="100"/>
        <v>133</v>
      </c>
      <c r="ACQ22" s="229">
        <v>200</v>
      </c>
      <c r="ACR22" s="230">
        <f t="shared" si="101"/>
        <v>0.66500000000000004</v>
      </c>
      <c r="ACS22" s="231">
        <f t="shared" si="76"/>
        <v>812</v>
      </c>
      <c r="ACT22" s="207">
        <f t="shared" si="76"/>
        <v>1200</v>
      </c>
      <c r="ACU22" s="323">
        <f t="shared" si="102"/>
        <v>0.67666666666666664</v>
      </c>
      <c r="ACW22" s="163">
        <f t="shared" si="103"/>
        <v>0.82387232650390541</v>
      </c>
      <c r="ACX22" s="5">
        <v>4</v>
      </c>
    </row>
    <row r="23" spans="1:778" s="102" customFormat="1" x14ac:dyDescent="0.35">
      <c r="A23" s="51"/>
      <c r="B23" s="165" t="s">
        <v>91</v>
      </c>
      <c r="C23" s="464"/>
      <c r="D23" s="465"/>
      <c r="E23" s="465"/>
      <c r="F23" s="465"/>
      <c r="G23" s="466"/>
      <c r="H23" s="467"/>
      <c r="I23" s="468"/>
      <c r="J23" s="238"/>
      <c r="K23" s="239">
        <f t="shared" si="0"/>
        <v>0</v>
      </c>
      <c r="L23" s="469"/>
      <c r="M23" s="465"/>
      <c r="N23" s="465"/>
      <c r="O23" s="465"/>
      <c r="P23" s="470"/>
      <c r="Q23" s="253"/>
      <c r="R23" s="468"/>
      <c r="S23" s="238"/>
      <c r="T23" s="239">
        <f t="shared" si="1"/>
        <v>0</v>
      </c>
      <c r="U23" s="469"/>
      <c r="V23" s="465"/>
      <c r="W23" s="465"/>
      <c r="X23" s="465"/>
      <c r="Y23" s="465"/>
      <c r="Z23" s="467"/>
      <c r="AA23" s="468"/>
      <c r="AB23" s="238"/>
      <c r="AC23" s="239">
        <f t="shared" si="2"/>
        <v>0</v>
      </c>
      <c r="AD23" s="469"/>
      <c r="AE23" s="465"/>
      <c r="AF23" s="465"/>
      <c r="AG23" s="465"/>
      <c r="AH23" s="465"/>
      <c r="AI23" s="467"/>
      <c r="AJ23" s="468"/>
      <c r="AK23" s="238"/>
      <c r="AL23" s="241">
        <f t="shared" si="3"/>
        <v>0</v>
      </c>
      <c r="AM23" s="469"/>
      <c r="AN23" s="465"/>
      <c r="AO23" s="465"/>
      <c r="AP23" s="465"/>
      <c r="AQ23" s="465"/>
      <c r="AR23" s="471"/>
      <c r="AS23" s="468"/>
      <c r="AT23" s="238"/>
      <c r="AU23" s="239">
        <f t="shared" si="4"/>
        <v>0</v>
      </c>
      <c r="AV23" s="244">
        <v>0</v>
      </c>
      <c r="AW23" s="245">
        <f t="shared" si="77"/>
        <v>0</v>
      </c>
      <c r="AX23" s="245">
        <v>0</v>
      </c>
      <c r="AY23" s="246">
        <v>0</v>
      </c>
      <c r="AZ23" s="247"/>
      <c r="BA23" s="464"/>
      <c r="BB23" s="465"/>
      <c r="BC23" s="465"/>
      <c r="BD23" s="465"/>
      <c r="BE23" s="465"/>
      <c r="BF23" s="467"/>
      <c r="BG23" s="468"/>
      <c r="BH23" s="238"/>
      <c r="BI23" s="248">
        <f t="shared" si="6"/>
        <v>0</v>
      </c>
      <c r="BJ23" s="472"/>
      <c r="BK23" s="465"/>
      <c r="BL23" s="465"/>
      <c r="BM23" s="465"/>
      <c r="BN23" s="465"/>
      <c r="BO23" s="467"/>
      <c r="BP23" s="468"/>
      <c r="BQ23" s="238"/>
      <c r="BR23" s="239">
        <f t="shared" si="7"/>
        <v>0</v>
      </c>
      <c r="BS23" s="469"/>
      <c r="BT23" s="465"/>
      <c r="BU23" s="465"/>
      <c r="BV23" s="465"/>
      <c r="BW23" s="465"/>
      <c r="BX23" s="467"/>
      <c r="BY23" s="468"/>
      <c r="BZ23" s="238"/>
      <c r="CA23" s="239"/>
      <c r="CB23" s="469"/>
      <c r="CC23" s="465"/>
      <c r="CD23" s="465"/>
      <c r="CE23" s="465"/>
      <c r="CF23" s="465"/>
      <c r="CG23" s="467"/>
      <c r="CH23" s="468"/>
      <c r="CI23" s="238"/>
      <c r="CJ23" s="241"/>
      <c r="CK23" s="469"/>
      <c r="CL23" s="465"/>
      <c r="CM23" s="465"/>
      <c r="CN23" s="465"/>
      <c r="CO23" s="465"/>
      <c r="CP23" s="471"/>
      <c r="CQ23" s="468"/>
      <c r="CR23" s="238"/>
      <c r="CS23" s="251">
        <f t="shared" si="78"/>
        <v>0</v>
      </c>
      <c r="CT23" s="244">
        <v>0</v>
      </c>
      <c r="CU23" s="245">
        <f t="shared" si="79"/>
        <v>0</v>
      </c>
      <c r="CV23" s="245">
        <v>0</v>
      </c>
      <c r="CW23" s="252">
        <v>0</v>
      </c>
      <c r="CX23" s="253"/>
      <c r="CY23" s="464"/>
      <c r="CZ23" s="465"/>
      <c r="DA23" s="465"/>
      <c r="DB23" s="465"/>
      <c r="DC23" s="465"/>
      <c r="DD23" s="467"/>
      <c r="DE23" s="468"/>
      <c r="DF23" s="238"/>
      <c r="DG23" s="239">
        <f t="shared" si="9"/>
        <v>0</v>
      </c>
      <c r="DH23" s="469"/>
      <c r="DI23" s="465"/>
      <c r="DJ23" s="465"/>
      <c r="DK23" s="465"/>
      <c r="DL23" s="465"/>
      <c r="DM23" s="467"/>
      <c r="DN23" s="468"/>
      <c r="DO23" s="238"/>
      <c r="DP23" s="239">
        <f t="shared" si="10"/>
        <v>0</v>
      </c>
      <c r="DQ23" s="469"/>
      <c r="DR23" s="465"/>
      <c r="DS23" s="465"/>
      <c r="DT23" s="465"/>
      <c r="DU23" s="465"/>
      <c r="DV23" s="467"/>
      <c r="DW23" s="468"/>
      <c r="DX23" s="238"/>
      <c r="DY23" s="239">
        <f t="shared" si="80"/>
        <v>0</v>
      </c>
      <c r="DZ23" s="469"/>
      <c r="EA23" s="465"/>
      <c r="EB23" s="465"/>
      <c r="EC23" s="465"/>
      <c r="ED23" s="465"/>
      <c r="EE23" s="467"/>
      <c r="EF23" s="468"/>
      <c r="EG23" s="238"/>
      <c r="EH23" s="254">
        <f t="shared" si="81"/>
        <v>0</v>
      </c>
      <c r="EI23" s="473"/>
      <c r="EJ23" s="465"/>
      <c r="EK23" s="465"/>
      <c r="EL23" s="465"/>
      <c r="EM23" s="465"/>
      <c r="EN23" s="471"/>
      <c r="EO23" s="468"/>
      <c r="EP23" s="238"/>
      <c r="EQ23" s="256">
        <f t="shared" si="82"/>
        <v>0</v>
      </c>
      <c r="ER23" s="244">
        <v>0</v>
      </c>
      <c r="ES23" s="245">
        <f t="shared" si="111"/>
        <v>0</v>
      </c>
      <c r="ET23" s="474">
        <v>0</v>
      </c>
      <c r="EU23" s="252">
        <v>0</v>
      </c>
      <c r="EV23" s="253"/>
      <c r="EW23" s="464"/>
      <c r="EX23" s="465"/>
      <c r="EY23" s="465"/>
      <c r="EZ23" s="465"/>
      <c r="FA23" s="465"/>
      <c r="FB23" s="467"/>
      <c r="FC23" s="468"/>
      <c r="FD23" s="238"/>
      <c r="FE23" s="239">
        <f t="shared" si="12"/>
        <v>0</v>
      </c>
      <c r="FF23" s="469"/>
      <c r="FG23" s="465"/>
      <c r="FH23" s="465"/>
      <c r="FI23" s="465"/>
      <c r="FJ23" s="465"/>
      <c r="FK23" s="467"/>
      <c r="FL23" s="468"/>
      <c r="FM23" s="238"/>
      <c r="FN23" s="239">
        <f t="shared" si="13"/>
        <v>0</v>
      </c>
      <c r="FO23" s="469"/>
      <c r="FP23" s="465"/>
      <c r="FQ23" s="465"/>
      <c r="FR23" s="465"/>
      <c r="FS23" s="465"/>
      <c r="FT23" s="467"/>
      <c r="FU23" s="468"/>
      <c r="FV23" s="238"/>
      <c r="FW23" s="239">
        <f t="shared" si="83"/>
        <v>0</v>
      </c>
      <c r="FX23" s="469"/>
      <c r="FY23" s="465"/>
      <c r="FZ23" s="465"/>
      <c r="GA23" s="465"/>
      <c r="GB23" s="465"/>
      <c r="GC23" s="467"/>
      <c r="GD23" s="468"/>
      <c r="GE23" s="238"/>
      <c r="GF23" s="239">
        <f t="shared" si="84"/>
        <v>0</v>
      </c>
      <c r="GG23" s="469"/>
      <c r="GH23" s="465"/>
      <c r="GI23" s="465"/>
      <c r="GJ23" s="465"/>
      <c r="GK23" s="465"/>
      <c r="GL23" s="471"/>
      <c r="GM23" s="468"/>
      <c r="GN23" s="238"/>
      <c r="GO23" s="239">
        <f t="shared" si="85"/>
        <v>0</v>
      </c>
      <c r="GP23" s="244">
        <v>0</v>
      </c>
      <c r="GQ23" s="245">
        <f t="shared" si="135"/>
        <v>0</v>
      </c>
      <c r="GR23" s="245">
        <v>0</v>
      </c>
      <c r="GS23" s="246">
        <v>0</v>
      </c>
      <c r="GT23" s="464"/>
      <c r="GU23" s="465"/>
      <c r="GV23" s="465"/>
      <c r="GW23" s="465"/>
      <c r="GX23" s="465"/>
      <c r="GY23" s="467"/>
      <c r="GZ23" s="468"/>
      <c r="HA23" s="238"/>
      <c r="HB23" s="238"/>
      <c r="HC23" s="239">
        <f t="shared" si="15"/>
        <v>0</v>
      </c>
      <c r="HD23" s="469"/>
      <c r="HE23" s="465"/>
      <c r="HF23" s="465"/>
      <c r="HG23" s="465"/>
      <c r="HH23" s="465"/>
      <c r="HI23" s="467"/>
      <c r="HJ23" s="468"/>
      <c r="HK23" s="238"/>
      <c r="HL23" s="238"/>
      <c r="HM23" s="239">
        <f t="shared" si="16"/>
        <v>0</v>
      </c>
      <c r="HN23" s="469"/>
      <c r="HO23" s="465"/>
      <c r="HP23" s="465"/>
      <c r="HQ23" s="465"/>
      <c r="HR23" s="465"/>
      <c r="HS23" s="467"/>
      <c r="HT23" s="468"/>
      <c r="HU23" s="238"/>
      <c r="HV23" s="238"/>
      <c r="HW23" s="239">
        <f t="shared" si="17"/>
        <v>0</v>
      </c>
      <c r="HX23" s="469"/>
      <c r="HY23" s="465"/>
      <c r="HZ23" s="465"/>
      <c r="IA23" s="465"/>
      <c r="IB23" s="465"/>
      <c r="IC23" s="467"/>
      <c r="ID23" s="468"/>
      <c r="IE23" s="238"/>
      <c r="IF23" s="238"/>
      <c r="IG23" s="241">
        <f t="shared" si="18"/>
        <v>0</v>
      </c>
      <c r="IH23" s="469"/>
      <c r="II23" s="465"/>
      <c r="IJ23" s="465"/>
      <c r="IK23" s="465"/>
      <c r="IL23" s="465"/>
      <c r="IM23" s="471"/>
      <c r="IN23" s="468"/>
      <c r="IO23" s="238"/>
      <c r="IP23" s="238"/>
      <c r="IQ23" s="239">
        <f t="shared" si="19"/>
        <v>0</v>
      </c>
      <c r="IR23" s="244"/>
      <c r="IS23" s="245"/>
      <c r="IT23" s="245"/>
      <c r="IU23" s="246"/>
      <c r="IV23" s="253"/>
      <c r="IW23" s="257">
        <f t="shared" si="87"/>
        <v>0</v>
      </c>
      <c r="IX23" s="258">
        <f t="shared" si="87"/>
        <v>0</v>
      </c>
      <c r="IY23" s="258">
        <f t="shared" si="87"/>
        <v>0</v>
      </c>
      <c r="IZ23" s="259">
        <v>0</v>
      </c>
      <c r="JA23" s="253"/>
      <c r="JB23" s="463" t="s">
        <v>64</v>
      </c>
      <c r="JC23" s="475"/>
      <c r="JD23" s="476"/>
      <c r="JE23" s="476"/>
      <c r="JF23" s="476"/>
      <c r="JG23" s="476"/>
      <c r="JH23" s="477">
        <v>69</v>
      </c>
      <c r="JI23" s="478"/>
      <c r="JJ23" s="265"/>
      <c r="JK23" s="265"/>
      <c r="JL23" s="266">
        <f t="shared" si="112"/>
        <v>69</v>
      </c>
      <c r="JM23" s="479"/>
      <c r="JN23" s="476"/>
      <c r="JO23" s="476"/>
      <c r="JP23" s="476"/>
      <c r="JQ23" s="476"/>
      <c r="JR23" s="477">
        <v>64</v>
      </c>
      <c r="JS23" s="478"/>
      <c r="JT23" s="265"/>
      <c r="JU23" s="265"/>
      <c r="JV23" s="266">
        <f t="shared" si="125"/>
        <v>64</v>
      </c>
      <c r="JW23" s="480"/>
      <c r="JX23" s="275"/>
      <c r="JY23" s="275"/>
      <c r="JZ23" s="275"/>
      <c r="KA23" s="275"/>
      <c r="KB23" s="481"/>
      <c r="KC23" s="276"/>
      <c r="KD23" s="277"/>
      <c r="KE23" s="277"/>
      <c r="KF23" s="282">
        <f t="shared" si="23"/>
        <v>0</v>
      </c>
      <c r="KG23" s="480"/>
      <c r="KH23" s="275"/>
      <c r="KI23" s="275"/>
      <c r="KJ23" s="275"/>
      <c r="KK23" s="275"/>
      <c r="KL23" s="481">
        <v>25</v>
      </c>
      <c r="KM23" s="276"/>
      <c r="KN23" s="277">
        <v>37</v>
      </c>
      <c r="KO23" s="277"/>
      <c r="KP23" s="282">
        <f t="shared" si="24"/>
        <v>25</v>
      </c>
      <c r="KQ23" s="480"/>
      <c r="KR23" s="275"/>
      <c r="KS23" s="275"/>
      <c r="KT23" s="275"/>
      <c r="KU23" s="275"/>
      <c r="KV23" s="481">
        <v>53</v>
      </c>
      <c r="KW23" s="281"/>
      <c r="KX23" s="277">
        <v>170</v>
      </c>
      <c r="KY23" s="277"/>
      <c r="KZ23" s="282">
        <f t="shared" si="25"/>
        <v>53</v>
      </c>
      <c r="LA23" s="269">
        <f t="shared" si="107"/>
        <v>170</v>
      </c>
      <c r="LB23" s="279">
        <f t="shared" si="26"/>
        <v>211</v>
      </c>
      <c r="LC23" s="275">
        <v>100</v>
      </c>
      <c r="LD23" s="279">
        <f t="shared" si="88"/>
        <v>111</v>
      </c>
      <c r="LE23" s="300">
        <f t="shared" si="89"/>
        <v>2.11</v>
      </c>
      <c r="LF23" s="271"/>
      <c r="LG23" s="272" t="s">
        <v>64</v>
      </c>
      <c r="LH23" s="475"/>
      <c r="LI23" s="476"/>
      <c r="LJ23" s="476"/>
      <c r="LK23" s="476"/>
      <c r="LL23" s="476"/>
      <c r="LM23" s="477">
        <v>56</v>
      </c>
      <c r="LN23" s="478"/>
      <c r="LO23" s="265"/>
      <c r="LP23" s="265"/>
      <c r="LQ23" s="266">
        <f t="shared" si="113"/>
        <v>56</v>
      </c>
      <c r="LR23" s="479"/>
      <c r="LS23" s="476"/>
      <c r="LT23" s="476"/>
      <c r="LU23" s="476"/>
      <c r="LV23" s="476"/>
      <c r="LW23" s="477">
        <v>87</v>
      </c>
      <c r="LX23" s="478"/>
      <c r="LY23" s="265"/>
      <c r="LZ23" s="265"/>
      <c r="MA23" s="266">
        <f t="shared" si="126"/>
        <v>87</v>
      </c>
      <c r="MB23" s="479"/>
      <c r="MC23" s="476"/>
      <c r="MD23" s="476"/>
      <c r="ME23" s="476"/>
      <c r="MF23" s="476"/>
      <c r="MG23" s="477">
        <v>33</v>
      </c>
      <c r="MH23" s="478"/>
      <c r="MI23" s="265"/>
      <c r="MJ23" s="265"/>
      <c r="MK23" s="266">
        <f t="shared" si="29"/>
        <v>33</v>
      </c>
      <c r="ML23" s="479"/>
      <c r="MM23" s="476"/>
      <c r="MN23" s="476"/>
      <c r="MO23" s="476"/>
      <c r="MP23" s="476"/>
      <c r="MQ23" s="477">
        <v>18</v>
      </c>
      <c r="MR23" s="478"/>
      <c r="MS23" s="265"/>
      <c r="MT23" s="265"/>
      <c r="MU23" s="266">
        <f t="shared" si="30"/>
        <v>18</v>
      </c>
      <c r="MV23" s="479"/>
      <c r="MW23" s="476"/>
      <c r="MX23" s="476"/>
      <c r="MY23" s="476"/>
      <c r="MZ23" s="476"/>
      <c r="NA23" s="477">
        <v>44</v>
      </c>
      <c r="NB23" s="478"/>
      <c r="NC23" s="265">
        <v>203</v>
      </c>
      <c r="ND23" s="265"/>
      <c r="NE23" s="266">
        <f t="shared" si="31"/>
        <v>44</v>
      </c>
      <c r="NF23" s="257">
        <f t="shared" si="90"/>
        <v>203</v>
      </c>
      <c r="NG23" s="262">
        <f t="shared" si="32"/>
        <v>238</v>
      </c>
      <c r="NH23" s="476">
        <v>100</v>
      </c>
      <c r="NI23" s="262">
        <f t="shared" si="91"/>
        <v>138</v>
      </c>
      <c r="NJ23" s="273">
        <f t="shared" si="108"/>
        <v>2.38</v>
      </c>
      <c r="NK23" s="271"/>
      <c r="NL23" s="272" t="s">
        <v>64</v>
      </c>
      <c r="NM23" s="475"/>
      <c r="NN23" s="476"/>
      <c r="NO23" s="476"/>
      <c r="NP23" s="476"/>
      <c r="NQ23" s="476"/>
      <c r="NR23" s="477">
        <v>23</v>
      </c>
      <c r="NS23" s="478"/>
      <c r="NT23" s="265"/>
      <c r="NU23" s="265"/>
      <c r="NV23" s="266">
        <f t="shared" si="114"/>
        <v>23</v>
      </c>
      <c r="NW23" s="479"/>
      <c r="NX23" s="476"/>
      <c r="NY23" s="476"/>
      <c r="NZ23" s="476"/>
      <c r="OA23" s="476"/>
      <c r="OB23" s="477"/>
      <c r="OC23" s="478"/>
      <c r="OD23" s="265"/>
      <c r="OE23" s="265"/>
      <c r="OF23" s="266">
        <f t="shared" si="127"/>
        <v>0</v>
      </c>
      <c r="OG23" s="479"/>
      <c r="OH23" s="476"/>
      <c r="OI23" s="476"/>
      <c r="OJ23" s="476"/>
      <c r="OK23" s="476"/>
      <c r="OL23" s="477">
        <v>41</v>
      </c>
      <c r="OM23" s="478"/>
      <c r="ON23" s="265"/>
      <c r="OO23" s="265"/>
      <c r="OP23" s="266">
        <f t="shared" si="35"/>
        <v>41</v>
      </c>
      <c r="OQ23" s="479"/>
      <c r="OR23" s="476"/>
      <c r="OS23" s="476"/>
      <c r="OT23" s="476"/>
      <c r="OU23" s="476"/>
      <c r="OV23" s="477">
        <v>68</v>
      </c>
      <c r="OW23" s="478"/>
      <c r="OX23" s="265"/>
      <c r="OY23" s="265"/>
      <c r="OZ23" s="266">
        <f t="shared" si="36"/>
        <v>68</v>
      </c>
      <c r="PA23" s="479"/>
      <c r="PB23" s="476"/>
      <c r="PC23" s="476"/>
      <c r="PD23" s="476"/>
      <c r="PE23" s="476"/>
      <c r="PF23" s="477"/>
      <c r="PG23" s="478"/>
      <c r="PH23" s="265"/>
      <c r="PI23" s="265"/>
      <c r="PJ23" s="266">
        <f t="shared" si="37"/>
        <v>0</v>
      </c>
      <c r="PK23" s="244">
        <f t="shared" si="38"/>
        <v>0</v>
      </c>
      <c r="PL23" s="262">
        <f t="shared" si="39"/>
        <v>132</v>
      </c>
      <c r="PM23" s="476">
        <v>100</v>
      </c>
      <c r="PN23" s="262">
        <f t="shared" si="92"/>
        <v>32</v>
      </c>
      <c r="PO23" s="270">
        <f t="shared" si="109"/>
        <v>1.32</v>
      </c>
      <c r="PP23" s="271"/>
      <c r="PQ23" s="272" t="s">
        <v>64</v>
      </c>
      <c r="PR23" s="475"/>
      <c r="PS23" s="476"/>
      <c r="PT23" s="476"/>
      <c r="PU23" s="476"/>
      <c r="PV23" s="476"/>
      <c r="PW23" s="477"/>
      <c r="PX23" s="478"/>
      <c r="PY23" s="265"/>
      <c r="PZ23" s="265"/>
      <c r="QA23" s="266">
        <f t="shared" si="115"/>
        <v>0</v>
      </c>
      <c r="QB23" s="479"/>
      <c r="QC23" s="476"/>
      <c r="QD23" s="476"/>
      <c r="QE23" s="476"/>
      <c r="QF23" s="476"/>
      <c r="QG23" s="477"/>
      <c r="QH23" s="478"/>
      <c r="QI23" s="265"/>
      <c r="QJ23" s="265"/>
      <c r="QK23" s="266">
        <f t="shared" si="128"/>
        <v>0</v>
      </c>
      <c r="QL23" s="480"/>
      <c r="QM23" s="275"/>
      <c r="QN23" s="275"/>
      <c r="QO23" s="275"/>
      <c r="QP23" s="275"/>
      <c r="QQ23" s="481"/>
      <c r="QR23" s="276"/>
      <c r="QS23" s="277"/>
      <c r="QT23" s="277"/>
      <c r="QU23" s="282">
        <f t="shared" si="42"/>
        <v>0</v>
      </c>
      <c r="QV23" s="480"/>
      <c r="QW23" s="275"/>
      <c r="QX23" s="275"/>
      <c r="QY23" s="275"/>
      <c r="QZ23" s="275"/>
      <c r="RA23" s="481"/>
      <c r="RB23" s="276"/>
      <c r="RC23" s="277"/>
      <c r="RD23" s="277"/>
      <c r="RE23" s="282">
        <f t="shared" si="43"/>
        <v>0</v>
      </c>
      <c r="RF23" s="480"/>
      <c r="RG23" s="275"/>
      <c r="RH23" s="275"/>
      <c r="RI23" s="275"/>
      <c r="RJ23" s="275"/>
      <c r="RK23" s="481"/>
      <c r="RL23" s="276"/>
      <c r="RM23" s="277">
        <v>0</v>
      </c>
      <c r="RN23" s="277"/>
      <c r="RO23" s="282">
        <f t="shared" si="44"/>
        <v>0</v>
      </c>
      <c r="RP23" s="257">
        <f t="shared" si="93"/>
        <v>0</v>
      </c>
      <c r="RQ23" s="279">
        <f t="shared" si="45"/>
        <v>0</v>
      </c>
      <c r="RR23" s="275">
        <v>100</v>
      </c>
      <c r="RS23" s="279">
        <f t="shared" si="94"/>
        <v>-100</v>
      </c>
      <c r="RT23" s="284">
        <f t="shared" si="110"/>
        <v>0</v>
      </c>
      <c r="RU23" s="285"/>
      <c r="RV23" s="286">
        <f t="shared" si="95"/>
        <v>373</v>
      </c>
      <c r="RW23" s="275">
        <f t="shared" si="95"/>
        <v>581</v>
      </c>
      <c r="RX23" s="275">
        <f t="shared" si="95"/>
        <v>400</v>
      </c>
      <c r="RY23" s="287">
        <f t="shared" si="96"/>
        <v>1.4524999999999999</v>
      </c>
      <c r="RZ23" s="253"/>
      <c r="SA23" s="233" t="s">
        <v>64</v>
      </c>
      <c r="SB23" s="482"/>
      <c r="SC23" s="476"/>
      <c r="SD23" s="476"/>
      <c r="SE23" s="476"/>
      <c r="SF23" s="476"/>
      <c r="SG23" s="477"/>
      <c r="SH23" s="483"/>
      <c r="SI23" s="265"/>
      <c r="SJ23" s="265"/>
      <c r="SK23" s="290">
        <f t="shared" si="116"/>
        <v>0</v>
      </c>
      <c r="SL23" s="484"/>
      <c r="SM23" s="275"/>
      <c r="SN23" s="275"/>
      <c r="SO23" s="275"/>
      <c r="SP23" s="275"/>
      <c r="SQ23" s="481"/>
      <c r="SR23" s="485"/>
      <c r="SS23" s="277"/>
      <c r="ST23" s="277"/>
      <c r="SU23" s="290">
        <f t="shared" si="129"/>
        <v>0</v>
      </c>
      <c r="SV23" s="484"/>
      <c r="SW23" s="275"/>
      <c r="SX23" s="275"/>
      <c r="SY23" s="275"/>
      <c r="SZ23" s="275"/>
      <c r="TA23" s="481">
        <v>49</v>
      </c>
      <c r="TB23" s="485"/>
      <c r="TC23" s="277"/>
      <c r="TD23" s="277"/>
      <c r="TE23" s="290">
        <f t="shared" si="117"/>
        <v>49</v>
      </c>
      <c r="TF23" s="484"/>
      <c r="TG23" s="275"/>
      <c r="TH23" s="275"/>
      <c r="TI23" s="275"/>
      <c r="TJ23" s="275"/>
      <c r="TK23" s="481">
        <v>65</v>
      </c>
      <c r="TL23" s="485"/>
      <c r="TM23" s="277"/>
      <c r="TN23" s="277"/>
      <c r="TO23" s="290">
        <f t="shared" si="49"/>
        <v>65</v>
      </c>
      <c r="TP23" s="484"/>
      <c r="TQ23" s="275"/>
      <c r="TR23" s="275"/>
      <c r="TS23" s="275"/>
      <c r="TT23" s="275"/>
      <c r="TU23" s="481">
        <v>55</v>
      </c>
      <c r="TV23" s="485"/>
      <c r="TW23" s="277"/>
      <c r="TX23" s="277"/>
      <c r="TY23" s="292">
        <f t="shared" si="50"/>
        <v>55</v>
      </c>
      <c r="TZ23" s="293">
        <f t="shared" si="97"/>
        <v>0</v>
      </c>
      <c r="UA23" s="275">
        <f t="shared" si="97"/>
        <v>169</v>
      </c>
      <c r="UB23" s="275">
        <v>100</v>
      </c>
      <c r="UC23" s="294">
        <f t="shared" si="51"/>
        <v>1.69</v>
      </c>
      <c r="UD23" s="285"/>
      <c r="UE23" s="486" t="s">
        <v>64</v>
      </c>
      <c r="UF23" s="482"/>
      <c r="UG23" s="476"/>
      <c r="UH23" s="476"/>
      <c r="UI23" s="476"/>
      <c r="UJ23" s="476"/>
      <c r="UK23" s="477">
        <v>41</v>
      </c>
      <c r="UL23" s="483"/>
      <c r="UM23" s="265"/>
      <c r="UN23" s="265"/>
      <c r="UO23" s="487">
        <f t="shared" si="118"/>
        <v>41</v>
      </c>
      <c r="UP23" s="475"/>
      <c r="UQ23" s="476"/>
      <c r="UR23" s="476"/>
      <c r="US23" s="476"/>
      <c r="UT23" s="476"/>
      <c r="UU23" s="477">
        <v>89</v>
      </c>
      <c r="UV23" s="483"/>
      <c r="UW23" s="265"/>
      <c r="UX23" s="265"/>
      <c r="UY23" s="487">
        <f t="shared" si="130"/>
        <v>89</v>
      </c>
      <c r="UZ23" s="484"/>
      <c r="VA23" s="275"/>
      <c r="VB23" s="275"/>
      <c r="VC23" s="275"/>
      <c r="VD23" s="275"/>
      <c r="VE23" s="481"/>
      <c r="VF23" s="485"/>
      <c r="VG23" s="277"/>
      <c r="VH23" s="277"/>
      <c r="VI23" s="290">
        <f t="shared" si="119"/>
        <v>0</v>
      </c>
      <c r="VJ23" s="475"/>
      <c r="VK23" s="476"/>
      <c r="VL23" s="476"/>
      <c r="VM23" s="476"/>
      <c r="VN23" s="476"/>
      <c r="VO23" s="477">
        <v>59</v>
      </c>
      <c r="VP23" s="483"/>
      <c r="VQ23" s="265"/>
      <c r="VR23" s="265"/>
      <c r="VS23" s="487">
        <f t="shared" si="55"/>
        <v>59</v>
      </c>
      <c r="VT23" s="475"/>
      <c r="VU23" s="476"/>
      <c r="VV23" s="476"/>
      <c r="VW23" s="476"/>
      <c r="VX23" s="476"/>
      <c r="VY23" s="477">
        <v>62</v>
      </c>
      <c r="VZ23" s="483"/>
      <c r="WA23" s="265"/>
      <c r="WB23" s="265"/>
      <c r="WC23" s="487">
        <f t="shared" si="56"/>
        <v>62</v>
      </c>
      <c r="WD23" s="297">
        <f t="shared" si="98"/>
        <v>0</v>
      </c>
      <c r="WE23" s="275">
        <f t="shared" si="98"/>
        <v>251</v>
      </c>
      <c r="WF23" s="275">
        <v>100</v>
      </c>
      <c r="WG23" s="287">
        <f t="shared" si="57"/>
        <v>2.5099999999999998</v>
      </c>
      <c r="WH23" s="488"/>
      <c r="WI23" s="489" t="s">
        <v>64</v>
      </c>
      <c r="WJ23" s="293"/>
      <c r="WK23" s="275"/>
      <c r="WL23" s="275"/>
      <c r="WM23" s="275"/>
      <c r="WN23" s="275"/>
      <c r="WO23" s="481">
        <v>70</v>
      </c>
      <c r="WP23" s="485"/>
      <c r="WQ23" s="277"/>
      <c r="WR23" s="277"/>
      <c r="WS23" s="290">
        <f t="shared" si="58"/>
        <v>70</v>
      </c>
      <c r="WT23" s="484"/>
      <c r="WU23" s="275"/>
      <c r="WV23" s="275"/>
      <c r="WW23" s="275"/>
      <c r="WX23" s="275"/>
      <c r="WY23" s="481">
        <v>14</v>
      </c>
      <c r="WZ23" s="485"/>
      <c r="XA23" s="277"/>
      <c r="XB23" s="277"/>
      <c r="XC23" s="290">
        <f t="shared" si="131"/>
        <v>14</v>
      </c>
      <c r="XD23" s="484"/>
      <c r="XE23" s="275"/>
      <c r="XF23" s="275"/>
      <c r="XG23" s="275"/>
      <c r="XH23" s="275"/>
      <c r="XI23" s="481">
        <v>56</v>
      </c>
      <c r="XJ23" s="485"/>
      <c r="XK23" s="277"/>
      <c r="XL23" s="277"/>
      <c r="XM23" s="290">
        <f t="shared" si="120"/>
        <v>56</v>
      </c>
      <c r="XN23" s="484"/>
      <c r="XO23" s="275"/>
      <c r="XP23" s="275"/>
      <c r="XQ23" s="275"/>
      <c r="XR23" s="275"/>
      <c r="XS23" s="481">
        <v>57</v>
      </c>
      <c r="XT23" s="485"/>
      <c r="XU23" s="277"/>
      <c r="XV23" s="277"/>
      <c r="XW23" s="290">
        <f t="shared" si="61"/>
        <v>57</v>
      </c>
      <c r="XX23" s="484"/>
      <c r="XY23" s="275"/>
      <c r="XZ23" s="275"/>
      <c r="YA23" s="275"/>
      <c r="YB23" s="275"/>
      <c r="YC23" s="481">
        <v>38</v>
      </c>
      <c r="YD23" s="485"/>
      <c r="YE23" s="277"/>
      <c r="YF23" s="277"/>
      <c r="YG23" s="290">
        <f t="shared" si="62"/>
        <v>38</v>
      </c>
      <c r="YH23" s="297">
        <f t="shared" si="99"/>
        <v>0</v>
      </c>
      <c r="YI23" s="279">
        <f t="shared" si="99"/>
        <v>235</v>
      </c>
      <c r="YJ23" s="275">
        <v>100</v>
      </c>
      <c r="YK23" s="300">
        <f t="shared" si="63"/>
        <v>2.35</v>
      </c>
      <c r="YL23" s="490"/>
      <c r="YM23" s="491"/>
      <c r="YN23" s="476"/>
      <c r="YO23" s="476"/>
      <c r="YP23" s="476"/>
      <c r="YQ23" s="476"/>
      <c r="YR23" s="477">
        <v>66</v>
      </c>
      <c r="YS23" s="483"/>
      <c r="YT23" s="265"/>
      <c r="YU23" s="265"/>
      <c r="YV23" s="290">
        <f t="shared" si="121"/>
        <v>66</v>
      </c>
      <c r="YW23" s="484"/>
      <c r="YX23" s="275"/>
      <c r="YY23" s="275"/>
      <c r="YZ23" s="275"/>
      <c r="ZA23" s="275"/>
      <c r="ZB23" s="481">
        <v>40</v>
      </c>
      <c r="ZC23" s="485"/>
      <c r="ZD23" s="277"/>
      <c r="ZE23" s="277"/>
      <c r="ZF23" s="290">
        <f t="shared" si="132"/>
        <v>40</v>
      </c>
      <c r="ZG23" s="484"/>
      <c r="ZH23" s="275"/>
      <c r="ZI23" s="275"/>
      <c r="ZJ23" s="275"/>
      <c r="ZK23" s="275"/>
      <c r="ZL23" s="481">
        <v>84</v>
      </c>
      <c r="ZM23" s="485"/>
      <c r="ZN23" s="277"/>
      <c r="ZO23" s="277"/>
      <c r="ZP23" s="290">
        <f t="shared" si="122"/>
        <v>84</v>
      </c>
      <c r="ZQ23" s="484"/>
      <c r="ZR23" s="275"/>
      <c r="ZS23" s="275"/>
      <c r="ZT23" s="275"/>
      <c r="ZU23" s="275"/>
      <c r="ZV23" s="481"/>
      <c r="ZW23" s="485"/>
      <c r="ZX23" s="277"/>
      <c r="ZY23" s="277"/>
      <c r="ZZ23" s="290">
        <f t="shared" si="67"/>
        <v>0</v>
      </c>
      <c r="AAA23" s="484"/>
      <c r="AAB23" s="275"/>
      <c r="AAC23" s="275"/>
      <c r="AAD23" s="275"/>
      <c r="AAE23" s="275"/>
      <c r="AAF23" s="481">
        <v>49</v>
      </c>
      <c r="AAG23" s="485"/>
      <c r="AAH23" s="277"/>
      <c r="AAI23" s="277"/>
      <c r="AAJ23" s="290">
        <f t="shared" si="68"/>
        <v>49</v>
      </c>
      <c r="AAK23" s="275">
        <f t="shared" si="69"/>
        <v>239</v>
      </c>
      <c r="AAL23" s="275">
        <v>100</v>
      </c>
      <c r="AAM23" s="287">
        <f t="shared" si="70"/>
        <v>2.39</v>
      </c>
      <c r="AAN23" s="492" t="s">
        <v>64</v>
      </c>
      <c r="AAO23" s="293"/>
      <c r="AAP23" s="275"/>
      <c r="AAQ23" s="275"/>
      <c r="AAR23" s="275"/>
      <c r="AAS23" s="275"/>
      <c r="AAT23" s="481"/>
      <c r="AAU23" s="485"/>
      <c r="AAV23" s="277"/>
      <c r="AAW23" s="277"/>
      <c r="AAX23" s="304"/>
      <c r="AAY23" s="290">
        <f t="shared" si="123"/>
        <v>0</v>
      </c>
      <c r="AAZ23" s="484"/>
      <c r="ABA23" s="275"/>
      <c r="ABB23" s="275"/>
      <c r="ABC23" s="275"/>
      <c r="ABD23" s="275"/>
      <c r="ABE23" s="481">
        <v>124</v>
      </c>
      <c r="ABF23" s="485"/>
      <c r="ABG23" s="277"/>
      <c r="ABH23" s="277"/>
      <c r="ABI23" s="290">
        <f t="shared" si="71"/>
        <v>124</v>
      </c>
      <c r="ABJ23" s="484"/>
      <c r="ABK23" s="275"/>
      <c r="ABL23" s="275"/>
      <c r="ABM23" s="275"/>
      <c r="ABN23" s="275"/>
      <c r="ABO23" s="481">
        <v>32</v>
      </c>
      <c r="ABP23" s="485"/>
      <c r="ABQ23" s="277"/>
      <c r="ABR23" s="277"/>
      <c r="ABS23" s="290">
        <f t="shared" si="124"/>
        <v>32</v>
      </c>
      <c r="ABT23" s="484"/>
      <c r="ABU23" s="275"/>
      <c r="ABV23" s="275"/>
      <c r="ABW23" s="275"/>
      <c r="ABX23" s="275"/>
      <c r="ABY23" s="481">
        <v>59</v>
      </c>
      <c r="ABZ23" s="485"/>
      <c r="ACA23" s="277"/>
      <c r="ACB23" s="277"/>
      <c r="ACC23" s="290">
        <f t="shared" si="73"/>
        <v>59</v>
      </c>
      <c r="ACD23" s="484"/>
      <c r="ACE23" s="275"/>
      <c r="ACF23" s="275"/>
      <c r="ACG23" s="275"/>
      <c r="ACH23" s="275"/>
      <c r="ACI23" s="481">
        <v>37</v>
      </c>
      <c r="ACJ23" s="485"/>
      <c r="ACK23" s="277"/>
      <c r="ACL23" s="277"/>
      <c r="ACM23" s="290">
        <f t="shared" si="74"/>
        <v>37</v>
      </c>
      <c r="ACN23" s="297">
        <f t="shared" si="75"/>
        <v>0</v>
      </c>
      <c r="ACO23" s="305"/>
      <c r="ACP23" s="275">
        <f t="shared" si="100"/>
        <v>252</v>
      </c>
      <c r="ACQ23" s="275">
        <v>75</v>
      </c>
      <c r="ACR23" s="294">
        <f t="shared" si="101"/>
        <v>3.36</v>
      </c>
      <c r="ACS23" s="297">
        <f t="shared" si="76"/>
        <v>1146</v>
      </c>
      <c r="ACT23" s="275">
        <f t="shared" si="76"/>
        <v>475</v>
      </c>
      <c r="ACU23" s="287">
        <f t="shared" si="102"/>
        <v>2.4126315789473685</v>
      </c>
      <c r="ACV23" s="253"/>
      <c r="ACW23" s="260">
        <f t="shared" si="103"/>
        <v>1.2883771929824561</v>
      </c>
      <c r="ACX23" s="306" t="s">
        <v>50</v>
      </c>
    </row>
    <row r="24" spans="1:778" s="102" customFormat="1" x14ac:dyDescent="0.35">
      <c r="A24" s="51" t="s">
        <v>52</v>
      </c>
      <c r="B24" s="165" t="s">
        <v>91</v>
      </c>
      <c r="C24" s="307"/>
      <c r="D24" s="308"/>
      <c r="E24" s="308"/>
      <c r="F24" s="308"/>
      <c r="G24" s="308"/>
      <c r="H24" s="309">
        <v>34</v>
      </c>
      <c r="I24" s="310"/>
      <c r="J24" s="57"/>
      <c r="K24" s="58">
        <f t="shared" si="0"/>
        <v>34</v>
      </c>
      <c r="L24" s="338"/>
      <c r="M24" s="339"/>
      <c r="N24" s="339"/>
      <c r="O24" s="339"/>
      <c r="P24" s="95"/>
      <c r="Q24" s="340">
        <v>38</v>
      </c>
      <c r="R24" s="310"/>
      <c r="S24" s="57"/>
      <c r="T24" s="58">
        <f t="shared" si="1"/>
        <v>38</v>
      </c>
      <c r="U24" s="314"/>
      <c r="V24" s="315"/>
      <c r="W24" s="315"/>
      <c r="X24" s="315"/>
      <c r="Y24" s="315"/>
      <c r="Z24" s="316"/>
      <c r="AA24" s="317"/>
      <c r="AB24" s="66"/>
      <c r="AC24" s="67">
        <f t="shared" si="2"/>
        <v>0</v>
      </c>
      <c r="AD24" s="319"/>
      <c r="AE24" s="308"/>
      <c r="AF24" s="308"/>
      <c r="AG24" s="308"/>
      <c r="AH24" s="339">
        <f>23+15</f>
        <v>38</v>
      </c>
      <c r="AI24" s="309"/>
      <c r="AJ24" s="310"/>
      <c r="AK24" s="57"/>
      <c r="AL24" s="88">
        <f t="shared" si="3"/>
        <v>38</v>
      </c>
      <c r="AM24" s="338"/>
      <c r="AN24" s="339"/>
      <c r="AO24" s="339"/>
      <c r="AP24" s="339">
        <v>51</v>
      </c>
      <c r="AQ24" s="339"/>
      <c r="AR24" s="341"/>
      <c r="AS24" s="310"/>
      <c r="AT24" s="57"/>
      <c r="AU24" s="58">
        <f t="shared" si="4"/>
        <v>51</v>
      </c>
      <c r="AV24" s="81">
        <v>280</v>
      </c>
      <c r="AW24" s="82">
        <f t="shared" si="77"/>
        <v>161</v>
      </c>
      <c r="AX24" s="82">
        <v>200</v>
      </c>
      <c r="AY24" s="172">
        <f t="shared" si="5"/>
        <v>0.80500000000000005</v>
      </c>
      <c r="AZ24" s="84"/>
      <c r="BA24" s="307">
        <v>12</v>
      </c>
      <c r="BB24" s="308"/>
      <c r="BC24" s="308"/>
      <c r="BD24" s="308">
        <f>35+6</f>
        <v>41</v>
      </c>
      <c r="BE24" s="308"/>
      <c r="BF24" s="309"/>
      <c r="BG24" s="310"/>
      <c r="BH24" s="57"/>
      <c r="BI24" s="86">
        <f t="shared" si="6"/>
        <v>53</v>
      </c>
      <c r="BJ24" s="318"/>
      <c r="BK24" s="308"/>
      <c r="BL24" s="339"/>
      <c r="BM24" s="339"/>
      <c r="BN24" s="339"/>
      <c r="BO24" s="340">
        <f>34+26</f>
        <v>60</v>
      </c>
      <c r="BP24" s="310"/>
      <c r="BQ24" s="57"/>
      <c r="BR24" s="58">
        <f t="shared" si="7"/>
        <v>60</v>
      </c>
      <c r="BS24" s="391"/>
      <c r="BT24" s="392"/>
      <c r="BU24" s="392"/>
      <c r="BV24" s="392"/>
      <c r="BW24" s="392"/>
      <c r="BX24" s="393"/>
      <c r="BY24" s="394"/>
      <c r="BZ24" s="395"/>
      <c r="CA24" s="396">
        <f t="shared" si="105"/>
        <v>0</v>
      </c>
      <c r="CB24" s="319">
        <v>14</v>
      </c>
      <c r="CC24" s="308"/>
      <c r="CD24" s="308"/>
      <c r="CE24" s="308">
        <v>17</v>
      </c>
      <c r="CF24" s="308"/>
      <c r="CG24" s="309"/>
      <c r="CH24" s="310"/>
      <c r="CI24" s="57"/>
      <c r="CJ24" s="88">
        <f t="shared" si="106"/>
        <v>31</v>
      </c>
      <c r="CK24" s="338"/>
      <c r="CL24" s="339"/>
      <c r="CM24" s="339"/>
      <c r="CN24" s="339"/>
      <c r="CO24" s="339"/>
      <c r="CP24" s="341">
        <f>31+9</f>
        <v>40</v>
      </c>
      <c r="CQ24" s="310"/>
      <c r="CR24" s="57"/>
      <c r="CS24" s="91">
        <f t="shared" si="78"/>
        <v>40</v>
      </c>
      <c r="CT24" s="431">
        <v>286</v>
      </c>
      <c r="CU24" s="195">
        <f t="shared" si="79"/>
        <v>184</v>
      </c>
      <c r="CV24" s="195">
        <v>200</v>
      </c>
      <c r="CW24" s="196">
        <f t="shared" si="8"/>
        <v>0.92</v>
      </c>
      <c r="CX24" s="95"/>
      <c r="CY24" s="307">
        <v>24</v>
      </c>
      <c r="CZ24" s="308"/>
      <c r="DA24" s="308"/>
      <c r="DB24" s="308"/>
      <c r="DC24" s="308"/>
      <c r="DD24" s="309"/>
      <c r="DE24" s="310"/>
      <c r="DF24" s="57"/>
      <c r="DG24" s="58">
        <f t="shared" si="9"/>
        <v>24</v>
      </c>
      <c r="DH24" s="319"/>
      <c r="DI24" s="308"/>
      <c r="DJ24" s="339"/>
      <c r="DK24" s="339"/>
      <c r="DL24" s="339"/>
      <c r="DM24" s="340">
        <v>23</v>
      </c>
      <c r="DN24" s="310"/>
      <c r="DO24" s="57"/>
      <c r="DP24" s="58">
        <f t="shared" si="10"/>
        <v>23</v>
      </c>
      <c r="DQ24" s="319"/>
      <c r="DR24" s="308"/>
      <c r="DS24" s="308"/>
      <c r="DT24" s="308"/>
      <c r="DU24" s="308"/>
      <c r="DV24" s="309">
        <v>43</v>
      </c>
      <c r="DW24" s="310"/>
      <c r="DX24" s="57"/>
      <c r="DY24" s="58">
        <f t="shared" si="80"/>
        <v>43</v>
      </c>
      <c r="DZ24" s="319"/>
      <c r="EA24" s="308"/>
      <c r="EB24" s="308"/>
      <c r="EC24" s="308"/>
      <c r="ED24" s="308"/>
      <c r="EE24" s="309">
        <v>25</v>
      </c>
      <c r="EF24" s="310"/>
      <c r="EG24" s="57"/>
      <c r="EH24" s="96">
        <f t="shared" si="81"/>
        <v>25</v>
      </c>
      <c r="EI24" s="351">
        <v>25</v>
      </c>
      <c r="EJ24" s="339"/>
      <c r="EK24" s="339"/>
      <c r="EL24" s="339"/>
      <c r="EM24" s="339"/>
      <c r="EN24" s="341"/>
      <c r="EO24" s="310"/>
      <c r="EP24" s="57"/>
      <c r="EQ24" s="98">
        <f t="shared" si="82"/>
        <v>25</v>
      </c>
      <c r="ER24" s="99">
        <v>239</v>
      </c>
      <c r="ES24" s="100">
        <f t="shared" si="111"/>
        <v>140</v>
      </c>
      <c r="ET24" s="346">
        <v>250</v>
      </c>
      <c r="EU24" s="177">
        <f t="shared" si="11"/>
        <v>0.56000000000000005</v>
      </c>
      <c r="EW24" s="307">
        <v>57</v>
      </c>
      <c r="EX24" s="308"/>
      <c r="EY24" s="308"/>
      <c r="EZ24" s="308"/>
      <c r="FA24" s="308"/>
      <c r="FB24" s="309"/>
      <c r="FC24" s="310"/>
      <c r="FD24" s="57"/>
      <c r="FE24" s="58">
        <f t="shared" si="12"/>
        <v>57</v>
      </c>
      <c r="FF24" s="319">
        <v>17</v>
      </c>
      <c r="FG24" s="308"/>
      <c r="FH24" s="339"/>
      <c r="FI24" s="339"/>
      <c r="FJ24" s="339"/>
      <c r="FK24" s="340"/>
      <c r="FL24" s="310"/>
      <c r="FM24" s="57"/>
      <c r="FN24" s="58">
        <f t="shared" si="13"/>
        <v>17</v>
      </c>
      <c r="FO24" s="319">
        <v>21</v>
      </c>
      <c r="FP24" s="308"/>
      <c r="FQ24" s="308"/>
      <c r="FR24" s="308"/>
      <c r="FS24" s="308"/>
      <c r="FT24" s="309"/>
      <c r="FU24" s="310"/>
      <c r="FV24" s="57"/>
      <c r="FW24" s="58">
        <f t="shared" si="83"/>
        <v>21</v>
      </c>
      <c r="FX24" s="319"/>
      <c r="FY24" s="308"/>
      <c r="FZ24" s="308"/>
      <c r="GA24" s="308"/>
      <c r="GB24" s="308"/>
      <c r="GC24" s="309">
        <v>26</v>
      </c>
      <c r="GD24" s="310"/>
      <c r="GE24" s="57"/>
      <c r="GF24" s="58">
        <f t="shared" si="84"/>
        <v>26</v>
      </c>
      <c r="GG24" s="338"/>
      <c r="GH24" s="339"/>
      <c r="GI24" s="339"/>
      <c r="GJ24" s="339"/>
      <c r="GK24" s="339"/>
      <c r="GL24" s="341">
        <v>41</v>
      </c>
      <c r="GM24" s="310"/>
      <c r="GN24" s="57"/>
      <c r="GO24" s="58">
        <f t="shared" si="85"/>
        <v>41</v>
      </c>
      <c r="GP24" s="103">
        <v>191</v>
      </c>
      <c r="GQ24" s="104">
        <f t="shared" si="135"/>
        <v>162</v>
      </c>
      <c r="GR24" s="104">
        <v>250</v>
      </c>
      <c r="GS24" s="178">
        <f t="shared" si="14"/>
        <v>0.64800000000000002</v>
      </c>
      <c r="GT24" s="384"/>
      <c r="GU24" s="339"/>
      <c r="GV24" s="339"/>
      <c r="GW24" s="339"/>
      <c r="GX24" s="339"/>
      <c r="GY24" s="340"/>
      <c r="GZ24" s="310"/>
      <c r="HA24" s="57"/>
      <c r="HB24" s="57"/>
      <c r="HC24" s="58">
        <f t="shared" si="15"/>
        <v>0</v>
      </c>
      <c r="HD24" s="338"/>
      <c r="HE24" s="339"/>
      <c r="HF24" s="339"/>
      <c r="HG24" s="339"/>
      <c r="HH24" s="339"/>
      <c r="HI24" s="340"/>
      <c r="HJ24" s="310"/>
      <c r="HK24" s="57"/>
      <c r="HL24" s="57"/>
      <c r="HM24" s="58">
        <f t="shared" si="16"/>
        <v>0</v>
      </c>
      <c r="HN24" s="319"/>
      <c r="HO24" s="308"/>
      <c r="HP24" s="308"/>
      <c r="HQ24" s="308"/>
      <c r="HR24" s="308"/>
      <c r="HS24" s="340"/>
      <c r="HT24" s="310"/>
      <c r="HU24" s="57"/>
      <c r="HV24" s="57"/>
      <c r="HW24" s="58">
        <f t="shared" si="17"/>
        <v>0</v>
      </c>
      <c r="HX24" s="319"/>
      <c r="HY24" s="308"/>
      <c r="HZ24" s="308"/>
      <c r="IA24" s="308"/>
      <c r="IB24" s="308"/>
      <c r="IC24" s="309"/>
      <c r="ID24" s="310"/>
      <c r="IE24" s="57"/>
      <c r="IF24" s="57"/>
      <c r="IG24" s="88">
        <f t="shared" si="18"/>
        <v>0</v>
      </c>
      <c r="IH24" s="319"/>
      <c r="II24" s="308"/>
      <c r="IJ24" s="308"/>
      <c r="IK24" s="308"/>
      <c r="IL24" s="308"/>
      <c r="IM24" s="377"/>
      <c r="IN24" s="310"/>
      <c r="IO24" s="57"/>
      <c r="IP24" s="57"/>
      <c r="IQ24" s="58">
        <f t="shared" si="19"/>
        <v>0</v>
      </c>
      <c r="IR24" s="106"/>
      <c r="IS24" s="107"/>
      <c r="IT24" s="107"/>
      <c r="IU24" s="179"/>
      <c r="IV24" s="95"/>
      <c r="IW24" s="109">
        <f t="shared" si="87"/>
        <v>996</v>
      </c>
      <c r="IX24" s="110">
        <f t="shared" si="87"/>
        <v>647</v>
      </c>
      <c r="IY24" s="110">
        <f t="shared" si="87"/>
        <v>900</v>
      </c>
      <c r="IZ24" s="493">
        <f t="shared" si="20"/>
        <v>0.71888888888888891</v>
      </c>
      <c r="JB24" s="182" t="s">
        <v>65</v>
      </c>
      <c r="JC24" s="318"/>
      <c r="JD24" s="308"/>
      <c r="JE24" s="308"/>
      <c r="JF24" s="308"/>
      <c r="JG24" s="308"/>
      <c r="JH24" s="309">
        <v>39</v>
      </c>
      <c r="JI24" s="310"/>
      <c r="JJ24" s="57"/>
      <c r="JK24" s="57"/>
      <c r="JL24" s="58">
        <f t="shared" si="112"/>
        <v>39</v>
      </c>
      <c r="JM24" s="319"/>
      <c r="JN24" s="308"/>
      <c r="JO24" s="339"/>
      <c r="JP24" s="339"/>
      <c r="JQ24" s="339"/>
      <c r="JR24" s="340">
        <v>39</v>
      </c>
      <c r="JS24" s="310"/>
      <c r="JT24" s="57"/>
      <c r="JU24" s="57"/>
      <c r="JV24" s="58">
        <f t="shared" si="125"/>
        <v>39</v>
      </c>
      <c r="JW24" s="319"/>
      <c r="JX24" s="308"/>
      <c r="JY24" s="308"/>
      <c r="JZ24" s="308">
        <v>20</v>
      </c>
      <c r="KA24" s="308"/>
      <c r="KB24" s="309">
        <v>7</v>
      </c>
      <c r="KC24" s="310"/>
      <c r="KD24" s="57"/>
      <c r="KE24" s="57"/>
      <c r="KF24" s="58">
        <f t="shared" si="23"/>
        <v>27</v>
      </c>
      <c r="KG24" s="319"/>
      <c r="KH24" s="308"/>
      <c r="KI24" s="308"/>
      <c r="KJ24" s="308"/>
      <c r="KK24" s="308"/>
      <c r="KL24" s="309">
        <v>32</v>
      </c>
      <c r="KM24" s="310"/>
      <c r="KN24" s="57"/>
      <c r="KO24" s="57"/>
      <c r="KP24" s="88">
        <f t="shared" si="24"/>
        <v>32</v>
      </c>
      <c r="KQ24" s="338"/>
      <c r="KR24" s="339"/>
      <c r="KS24" s="339"/>
      <c r="KT24" s="339">
        <v>37</v>
      </c>
      <c r="KU24" s="339"/>
      <c r="KV24" s="341">
        <v>2</v>
      </c>
      <c r="KW24" s="56"/>
      <c r="KX24" s="57">
        <v>293</v>
      </c>
      <c r="KY24" s="57"/>
      <c r="KZ24" s="58">
        <f t="shared" si="25"/>
        <v>39</v>
      </c>
      <c r="LA24" s="81">
        <f t="shared" si="107"/>
        <v>293</v>
      </c>
      <c r="LB24" s="82">
        <f t="shared" si="26"/>
        <v>176</v>
      </c>
      <c r="LC24" s="348">
        <v>250</v>
      </c>
      <c r="LD24" s="82">
        <f t="shared" si="88"/>
        <v>-74</v>
      </c>
      <c r="LE24" s="192">
        <f t="shared" si="89"/>
        <v>0.70399999999999996</v>
      </c>
      <c r="LF24" s="115"/>
      <c r="LG24" s="322" t="s">
        <v>65</v>
      </c>
      <c r="LH24" s="318"/>
      <c r="LI24" s="308"/>
      <c r="LJ24" s="308"/>
      <c r="LK24" s="308">
        <v>10</v>
      </c>
      <c r="LL24" s="308"/>
      <c r="LM24" s="309">
        <v>34</v>
      </c>
      <c r="LN24" s="310"/>
      <c r="LO24" s="57"/>
      <c r="LP24" s="57"/>
      <c r="LQ24" s="58">
        <f t="shared" si="113"/>
        <v>44</v>
      </c>
      <c r="LR24" s="319"/>
      <c r="LS24" s="308"/>
      <c r="LT24" s="339"/>
      <c r="LU24" s="339">
        <v>17</v>
      </c>
      <c r="LV24" s="339"/>
      <c r="LW24" s="340">
        <v>32</v>
      </c>
      <c r="LX24" s="310"/>
      <c r="LY24" s="57"/>
      <c r="LZ24" s="57"/>
      <c r="MA24" s="58">
        <f t="shared" si="126"/>
        <v>49</v>
      </c>
      <c r="MB24" s="319"/>
      <c r="MC24" s="308"/>
      <c r="MD24" s="308"/>
      <c r="ME24" s="308"/>
      <c r="MF24" s="308"/>
      <c r="MG24" s="309">
        <v>29</v>
      </c>
      <c r="MH24" s="310"/>
      <c r="MI24" s="57"/>
      <c r="MJ24" s="57"/>
      <c r="MK24" s="58">
        <f t="shared" si="29"/>
        <v>29</v>
      </c>
      <c r="ML24" s="319"/>
      <c r="MM24" s="308"/>
      <c r="MN24" s="308"/>
      <c r="MO24" s="308">
        <v>13</v>
      </c>
      <c r="MP24" s="308"/>
      <c r="MQ24" s="309"/>
      <c r="MR24" s="310"/>
      <c r="MS24" s="57"/>
      <c r="MT24" s="57"/>
      <c r="MU24" s="88">
        <f t="shared" si="30"/>
        <v>13</v>
      </c>
      <c r="MV24" s="338"/>
      <c r="MW24" s="339"/>
      <c r="MX24" s="339"/>
      <c r="MY24" s="339">
        <v>21</v>
      </c>
      <c r="MZ24" s="339"/>
      <c r="NA24" s="341">
        <v>46</v>
      </c>
      <c r="NB24" s="310"/>
      <c r="NC24" s="57">
        <v>320</v>
      </c>
      <c r="ND24" s="57"/>
      <c r="NE24" s="58">
        <f t="shared" si="31"/>
        <v>67</v>
      </c>
      <c r="NF24" s="117">
        <f t="shared" si="90"/>
        <v>320</v>
      </c>
      <c r="NG24" s="93">
        <f t="shared" si="32"/>
        <v>202</v>
      </c>
      <c r="NH24" s="349">
        <v>250</v>
      </c>
      <c r="NI24" s="93">
        <f t="shared" si="91"/>
        <v>-48</v>
      </c>
      <c r="NJ24" s="196">
        <f t="shared" si="108"/>
        <v>0.80800000000000005</v>
      </c>
      <c r="NK24" s="119"/>
      <c r="NL24" s="322" t="s">
        <v>65</v>
      </c>
      <c r="NM24" s="318"/>
      <c r="NN24" s="308"/>
      <c r="NO24" s="308"/>
      <c r="NP24" s="308">
        <v>6</v>
      </c>
      <c r="NQ24" s="308"/>
      <c r="NR24" s="309">
        <v>20</v>
      </c>
      <c r="NS24" s="310"/>
      <c r="NT24" s="57"/>
      <c r="NU24" s="57"/>
      <c r="NV24" s="58">
        <f t="shared" si="114"/>
        <v>26</v>
      </c>
      <c r="NW24" s="319"/>
      <c r="NX24" s="308"/>
      <c r="NY24" s="339"/>
      <c r="NZ24" s="339">
        <v>26</v>
      </c>
      <c r="OA24" s="339"/>
      <c r="OB24" s="340">
        <v>13</v>
      </c>
      <c r="OC24" s="310"/>
      <c r="OD24" s="57"/>
      <c r="OE24" s="57"/>
      <c r="OF24" s="58">
        <f t="shared" si="127"/>
        <v>39</v>
      </c>
      <c r="OG24" s="319"/>
      <c r="OH24" s="308"/>
      <c r="OI24" s="308"/>
      <c r="OJ24" s="308"/>
      <c r="OK24" s="308"/>
      <c r="OL24" s="309">
        <v>48</v>
      </c>
      <c r="OM24" s="310"/>
      <c r="ON24" s="57"/>
      <c r="OO24" s="57"/>
      <c r="OP24" s="58">
        <f t="shared" si="35"/>
        <v>48</v>
      </c>
      <c r="OQ24" s="319"/>
      <c r="OR24" s="308"/>
      <c r="OS24" s="308"/>
      <c r="OT24" s="308"/>
      <c r="OU24" s="308"/>
      <c r="OV24" s="309">
        <v>49</v>
      </c>
      <c r="OW24" s="310"/>
      <c r="OX24" s="57"/>
      <c r="OY24" s="57"/>
      <c r="OZ24" s="88">
        <f t="shared" si="36"/>
        <v>49</v>
      </c>
      <c r="PA24" s="338"/>
      <c r="PB24" s="339"/>
      <c r="PC24" s="339"/>
      <c r="PD24" s="339"/>
      <c r="PE24" s="339"/>
      <c r="PF24" s="341">
        <v>46</v>
      </c>
      <c r="PG24" s="310"/>
      <c r="PH24" s="57"/>
      <c r="PI24" s="57"/>
      <c r="PJ24" s="58">
        <f t="shared" si="37"/>
        <v>46</v>
      </c>
      <c r="PK24" s="99">
        <f t="shared" si="38"/>
        <v>0</v>
      </c>
      <c r="PL24" s="100">
        <f t="shared" si="39"/>
        <v>208</v>
      </c>
      <c r="PM24" s="346">
        <v>250</v>
      </c>
      <c r="PN24" s="100">
        <f t="shared" si="92"/>
        <v>-42</v>
      </c>
      <c r="PO24" s="198">
        <f t="shared" si="109"/>
        <v>0.83199999999999996</v>
      </c>
      <c r="PP24" s="119"/>
      <c r="PQ24" s="322" t="s">
        <v>65</v>
      </c>
      <c r="PR24" s="318"/>
      <c r="PS24" s="308"/>
      <c r="PT24" s="308"/>
      <c r="PU24" s="308">
        <v>14</v>
      </c>
      <c r="PV24" s="308"/>
      <c r="PW24" s="309">
        <v>4</v>
      </c>
      <c r="PX24" s="310"/>
      <c r="PY24" s="57"/>
      <c r="PZ24" s="57"/>
      <c r="QA24" s="58">
        <f t="shared" si="115"/>
        <v>18</v>
      </c>
      <c r="QB24" s="319"/>
      <c r="QC24" s="308"/>
      <c r="QD24" s="339"/>
      <c r="QE24" s="339">
        <v>14</v>
      </c>
      <c r="QF24" s="339"/>
      <c r="QG24" s="340"/>
      <c r="QH24" s="310"/>
      <c r="QI24" s="57"/>
      <c r="QJ24" s="57"/>
      <c r="QK24" s="58">
        <f t="shared" si="128"/>
        <v>14</v>
      </c>
      <c r="QL24" s="319"/>
      <c r="QM24" s="308"/>
      <c r="QN24" s="308"/>
      <c r="QO24" s="308"/>
      <c r="QP24" s="308"/>
      <c r="QQ24" s="309">
        <v>32</v>
      </c>
      <c r="QR24" s="310"/>
      <c r="QS24" s="57"/>
      <c r="QT24" s="57"/>
      <c r="QU24" s="58">
        <f t="shared" si="42"/>
        <v>32</v>
      </c>
      <c r="QV24" s="319"/>
      <c r="QW24" s="308"/>
      <c r="QX24" s="308"/>
      <c r="QY24" s="308">
        <v>26</v>
      </c>
      <c r="QZ24" s="308"/>
      <c r="RA24" s="309">
        <v>24</v>
      </c>
      <c r="RB24" s="310"/>
      <c r="RC24" s="57"/>
      <c r="RD24" s="57"/>
      <c r="RE24" s="88">
        <f t="shared" si="43"/>
        <v>50</v>
      </c>
      <c r="RF24" s="338"/>
      <c r="RG24" s="339"/>
      <c r="RH24" s="339"/>
      <c r="RI24" s="339">
        <v>8</v>
      </c>
      <c r="RJ24" s="339"/>
      <c r="RK24" s="341">
        <v>33</v>
      </c>
      <c r="RL24" s="310"/>
      <c r="RM24" s="57">
        <v>382</v>
      </c>
      <c r="RN24" s="57"/>
      <c r="RO24" s="58">
        <f t="shared" si="44"/>
        <v>41</v>
      </c>
      <c r="RP24" s="121">
        <f t="shared" si="93"/>
        <v>382</v>
      </c>
      <c r="RQ24" s="104">
        <f t="shared" si="45"/>
        <v>155</v>
      </c>
      <c r="RR24" s="350">
        <v>250</v>
      </c>
      <c r="RS24" s="104">
        <f t="shared" si="94"/>
        <v>-95</v>
      </c>
      <c r="RT24" s="205">
        <f t="shared" si="110"/>
        <v>0.62</v>
      </c>
      <c r="RV24" s="123">
        <f t="shared" si="95"/>
        <v>995</v>
      </c>
      <c r="RW24" s="124">
        <f t="shared" si="95"/>
        <v>741</v>
      </c>
      <c r="RX24" s="124">
        <f t="shared" si="95"/>
        <v>1000</v>
      </c>
      <c r="RY24" s="494">
        <f t="shared" si="96"/>
        <v>0.74099999999999999</v>
      </c>
      <c r="SA24" s="165" t="s">
        <v>65</v>
      </c>
      <c r="SB24" s="324"/>
      <c r="SC24" s="200"/>
      <c r="SD24" s="200"/>
      <c r="SE24" s="200"/>
      <c r="SF24" s="200"/>
      <c r="SG24" s="325">
        <v>33</v>
      </c>
      <c r="SH24" s="326"/>
      <c r="SI24" s="134"/>
      <c r="SJ24" s="134"/>
      <c r="SK24" s="131">
        <f t="shared" si="116"/>
        <v>33</v>
      </c>
      <c r="SL24" s="327"/>
      <c r="SM24" s="200"/>
      <c r="SN24" s="200"/>
      <c r="SO24" s="200"/>
      <c r="SP24" s="200"/>
      <c r="SQ24" s="325">
        <v>24</v>
      </c>
      <c r="SR24" s="326"/>
      <c r="SS24" s="134"/>
      <c r="ST24" s="134"/>
      <c r="SU24" s="131">
        <f t="shared" si="129"/>
        <v>24</v>
      </c>
      <c r="SV24" s="327"/>
      <c r="SW24" s="200"/>
      <c r="SX24" s="200"/>
      <c r="SY24" s="200"/>
      <c r="SZ24" s="200"/>
      <c r="TA24" s="325">
        <v>38</v>
      </c>
      <c r="TB24" s="326"/>
      <c r="TC24" s="134"/>
      <c r="TD24" s="134"/>
      <c r="TE24" s="131">
        <f t="shared" si="117"/>
        <v>38</v>
      </c>
      <c r="TF24" s="327"/>
      <c r="TG24" s="200"/>
      <c r="TH24" s="200"/>
      <c r="TI24" s="200"/>
      <c r="TJ24" s="200"/>
      <c r="TK24" s="325">
        <v>27</v>
      </c>
      <c r="TL24" s="326"/>
      <c r="TM24" s="134"/>
      <c r="TN24" s="134"/>
      <c r="TO24" s="131">
        <f t="shared" si="49"/>
        <v>27</v>
      </c>
      <c r="TP24" s="327"/>
      <c r="TQ24" s="200"/>
      <c r="TR24" s="200"/>
      <c r="TS24" s="200"/>
      <c r="TT24" s="200"/>
      <c r="TU24" s="325">
        <v>33</v>
      </c>
      <c r="TV24" s="326"/>
      <c r="TW24" s="134"/>
      <c r="TX24" s="134"/>
      <c r="TY24" s="136">
        <f t="shared" si="50"/>
        <v>33</v>
      </c>
      <c r="TZ24" s="209">
        <f t="shared" si="97"/>
        <v>0</v>
      </c>
      <c r="UA24" s="210">
        <f t="shared" si="97"/>
        <v>155</v>
      </c>
      <c r="UB24" s="210">
        <v>250</v>
      </c>
      <c r="UC24" s="211">
        <f t="shared" si="51"/>
        <v>0.62</v>
      </c>
      <c r="UD24" s="140"/>
      <c r="UE24" s="220" t="s">
        <v>65</v>
      </c>
      <c r="UF24" s="324"/>
      <c r="UG24" s="200"/>
      <c r="UH24" s="200"/>
      <c r="UI24" s="200"/>
      <c r="UJ24" s="200"/>
      <c r="UK24" s="325">
        <v>29</v>
      </c>
      <c r="UL24" s="326"/>
      <c r="UM24" s="134"/>
      <c r="UN24" s="134"/>
      <c r="UO24" s="131">
        <f t="shared" si="118"/>
        <v>29</v>
      </c>
      <c r="UP24" s="327"/>
      <c r="UQ24" s="200"/>
      <c r="UR24" s="200"/>
      <c r="US24" s="200"/>
      <c r="UT24" s="200"/>
      <c r="UU24" s="325">
        <v>27</v>
      </c>
      <c r="UV24" s="326"/>
      <c r="UW24" s="134"/>
      <c r="UX24" s="134"/>
      <c r="UY24" s="131">
        <f t="shared" si="130"/>
        <v>27</v>
      </c>
      <c r="UZ24" s="327"/>
      <c r="VA24" s="200"/>
      <c r="VB24" s="200"/>
      <c r="VC24" s="200"/>
      <c r="VD24" s="200"/>
      <c r="VE24" s="325">
        <v>33</v>
      </c>
      <c r="VF24" s="326"/>
      <c r="VG24" s="134"/>
      <c r="VH24" s="134"/>
      <c r="VI24" s="131">
        <f t="shared" si="119"/>
        <v>33</v>
      </c>
      <c r="VJ24" s="327"/>
      <c r="VK24" s="200"/>
      <c r="VL24" s="200"/>
      <c r="VM24" s="200"/>
      <c r="VN24" s="200"/>
      <c r="VO24" s="325">
        <v>32</v>
      </c>
      <c r="VP24" s="326"/>
      <c r="VQ24" s="134"/>
      <c r="VR24" s="134"/>
      <c r="VS24" s="131">
        <f t="shared" si="55"/>
        <v>32</v>
      </c>
      <c r="VT24" s="327"/>
      <c r="VU24" s="200"/>
      <c r="VV24" s="200"/>
      <c r="VW24" s="200"/>
      <c r="VX24" s="200"/>
      <c r="VY24" s="325"/>
      <c r="VZ24" s="326"/>
      <c r="WA24" s="134"/>
      <c r="WB24" s="134"/>
      <c r="WC24" s="131">
        <f t="shared" si="56"/>
        <v>0</v>
      </c>
      <c r="WD24" s="216">
        <f t="shared" si="98"/>
        <v>0</v>
      </c>
      <c r="WE24" s="217">
        <f t="shared" si="98"/>
        <v>121</v>
      </c>
      <c r="WF24" s="217">
        <v>200</v>
      </c>
      <c r="WG24" s="218">
        <f t="shared" si="57"/>
        <v>0.60499999999999998</v>
      </c>
      <c r="WH24" s="146"/>
      <c r="WI24" s="220" t="s">
        <v>65</v>
      </c>
      <c r="WJ24" s="324"/>
      <c r="WK24" s="200"/>
      <c r="WL24" s="200"/>
      <c r="WM24" s="200"/>
      <c r="WN24" s="200">
        <v>42</v>
      </c>
      <c r="WO24" s="325"/>
      <c r="WP24" s="326"/>
      <c r="WQ24" s="134"/>
      <c r="WR24" s="134"/>
      <c r="WS24" s="131">
        <f t="shared" si="58"/>
        <v>42</v>
      </c>
      <c r="WT24" s="327"/>
      <c r="WU24" s="200"/>
      <c r="WV24" s="200"/>
      <c r="WW24" s="200"/>
      <c r="WX24" s="200"/>
      <c r="WY24" s="325">
        <v>32</v>
      </c>
      <c r="WZ24" s="326"/>
      <c r="XA24" s="134"/>
      <c r="XB24" s="134"/>
      <c r="XC24" s="131">
        <f t="shared" si="131"/>
        <v>32</v>
      </c>
      <c r="XD24" s="327"/>
      <c r="XE24" s="200"/>
      <c r="XF24" s="200"/>
      <c r="XG24" s="200"/>
      <c r="XH24" s="200"/>
      <c r="XI24" s="325">
        <v>27</v>
      </c>
      <c r="XJ24" s="326"/>
      <c r="XK24" s="134"/>
      <c r="XL24" s="134"/>
      <c r="XM24" s="131">
        <f t="shared" si="120"/>
        <v>27</v>
      </c>
      <c r="XN24" s="327"/>
      <c r="XO24" s="200"/>
      <c r="XP24" s="200"/>
      <c r="XQ24" s="200"/>
      <c r="XR24" s="200"/>
      <c r="XS24" s="325">
        <v>29</v>
      </c>
      <c r="XT24" s="326"/>
      <c r="XU24" s="134"/>
      <c r="XV24" s="134"/>
      <c r="XW24" s="131">
        <f t="shared" si="61"/>
        <v>29</v>
      </c>
      <c r="XX24" s="327"/>
      <c r="XY24" s="200"/>
      <c r="XZ24" s="200"/>
      <c r="YA24" s="200"/>
      <c r="YB24" s="200"/>
      <c r="YC24" s="325">
        <v>21</v>
      </c>
      <c r="YD24" s="326"/>
      <c r="YE24" s="134"/>
      <c r="YF24" s="134"/>
      <c r="YG24" s="131">
        <f t="shared" si="62"/>
        <v>21</v>
      </c>
      <c r="YH24" s="221">
        <f t="shared" si="99"/>
        <v>0</v>
      </c>
      <c r="YI24" s="148">
        <f t="shared" si="99"/>
        <v>151</v>
      </c>
      <c r="YJ24" s="222">
        <v>250</v>
      </c>
      <c r="YK24" s="223">
        <f t="shared" si="63"/>
        <v>0.60399999999999998</v>
      </c>
      <c r="YL24" s="150"/>
      <c r="YM24" s="328"/>
      <c r="YN24" s="200"/>
      <c r="YO24" s="200"/>
      <c r="YP24" s="200"/>
      <c r="YQ24" s="200"/>
      <c r="YR24" s="325">
        <v>36</v>
      </c>
      <c r="YS24" s="326"/>
      <c r="YT24" s="134"/>
      <c r="YU24" s="134"/>
      <c r="YV24" s="131">
        <f t="shared" si="121"/>
        <v>36</v>
      </c>
      <c r="YW24" s="327"/>
      <c r="YX24" s="200"/>
      <c r="YY24" s="200"/>
      <c r="YZ24" s="200"/>
      <c r="ZA24" s="200"/>
      <c r="ZB24" s="325">
        <v>10</v>
      </c>
      <c r="ZC24" s="326"/>
      <c r="ZD24" s="134"/>
      <c r="ZE24" s="134"/>
      <c r="ZF24" s="131">
        <f t="shared" si="132"/>
        <v>10</v>
      </c>
      <c r="ZG24" s="327"/>
      <c r="ZH24" s="200"/>
      <c r="ZI24" s="200"/>
      <c r="ZJ24" s="200"/>
      <c r="ZK24" s="200"/>
      <c r="ZL24" s="325">
        <v>35</v>
      </c>
      <c r="ZM24" s="326"/>
      <c r="ZN24" s="134"/>
      <c r="ZO24" s="134"/>
      <c r="ZP24" s="131">
        <f t="shared" si="122"/>
        <v>35</v>
      </c>
      <c r="ZQ24" s="327"/>
      <c r="ZR24" s="200"/>
      <c r="ZS24" s="200"/>
      <c r="ZT24" s="200"/>
      <c r="ZU24" s="200"/>
      <c r="ZV24" s="325">
        <v>30</v>
      </c>
      <c r="ZW24" s="326"/>
      <c r="ZX24" s="134"/>
      <c r="ZY24" s="134"/>
      <c r="ZZ24" s="131">
        <f t="shared" si="67"/>
        <v>30</v>
      </c>
      <c r="AAA24" s="327"/>
      <c r="AAB24" s="200"/>
      <c r="AAC24" s="200"/>
      <c r="AAD24" s="200"/>
      <c r="AAE24" s="200"/>
      <c r="AAF24" s="325">
        <v>29</v>
      </c>
      <c r="AAG24" s="326"/>
      <c r="AAH24" s="134"/>
      <c r="AAI24" s="134"/>
      <c r="AAJ24" s="131">
        <f t="shared" si="68"/>
        <v>29</v>
      </c>
      <c r="AAK24" s="226">
        <f t="shared" si="69"/>
        <v>140</v>
      </c>
      <c r="AAL24" s="226">
        <v>150</v>
      </c>
      <c r="AAM24" s="227">
        <f t="shared" si="70"/>
        <v>0.93333333333333335</v>
      </c>
      <c r="AAN24" s="329" t="s">
        <v>65</v>
      </c>
      <c r="AAO24" s="324"/>
      <c r="AAP24" s="200"/>
      <c r="AAQ24" s="200"/>
      <c r="AAR24" s="200"/>
      <c r="AAS24" s="200"/>
      <c r="AAT24" s="325"/>
      <c r="AAU24" s="326"/>
      <c r="AAV24" s="134"/>
      <c r="AAW24" s="134"/>
      <c r="AAX24" s="155"/>
      <c r="AAY24" s="131">
        <f t="shared" si="123"/>
        <v>0</v>
      </c>
      <c r="AAZ24" s="327"/>
      <c r="ABA24" s="200"/>
      <c r="ABB24" s="200"/>
      <c r="ABC24" s="200"/>
      <c r="ABD24" s="200"/>
      <c r="ABE24" s="325">
        <v>39</v>
      </c>
      <c r="ABF24" s="326"/>
      <c r="ABG24" s="134"/>
      <c r="ABH24" s="134"/>
      <c r="ABI24" s="131">
        <f t="shared" si="71"/>
        <v>39</v>
      </c>
      <c r="ABJ24" s="327"/>
      <c r="ABK24" s="200"/>
      <c r="ABL24" s="200"/>
      <c r="ABM24" s="200"/>
      <c r="ABN24" s="200"/>
      <c r="ABO24" s="325">
        <v>34</v>
      </c>
      <c r="ABP24" s="326"/>
      <c r="ABQ24" s="134"/>
      <c r="ABR24" s="134"/>
      <c r="ABS24" s="131">
        <f t="shared" si="124"/>
        <v>34</v>
      </c>
      <c r="ABT24" s="327"/>
      <c r="ABU24" s="200"/>
      <c r="ABV24" s="200"/>
      <c r="ABW24" s="200"/>
      <c r="ABX24" s="200"/>
      <c r="ABY24" s="325"/>
      <c r="ABZ24" s="326"/>
      <c r="ACA24" s="134"/>
      <c r="ACB24" s="134"/>
      <c r="ACC24" s="131">
        <f t="shared" si="73"/>
        <v>0</v>
      </c>
      <c r="ACD24" s="327"/>
      <c r="ACE24" s="200"/>
      <c r="ACF24" s="200"/>
      <c r="ACG24" s="200"/>
      <c r="ACH24" s="200"/>
      <c r="ACI24" s="325">
        <v>29</v>
      </c>
      <c r="ACJ24" s="326"/>
      <c r="ACK24" s="134"/>
      <c r="ACL24" s="134"/>
      <c r="ACM24" s="131">
        <f t="shared" si="74"/>
        <v>29</v>
      </c>
      <c r="ACN24" s="156">
        <f t="shared" si="75"/>
        <v>0</v>
      </c>
      <c r="ACO24" s="157"/>
      <c r="ACP24" s="229">
        <f t="shared" si="100"/>
        <v>102</v>
      </c>
      <c r="ACQ24" s="229">
        <v>150</v>
      </c>
      <c r="ACR24" s="230">
        <f t="shared" si="101"/>
        <v>0.68</v>
      </c>
      <c r="ACS24" s="231">
        <f t="shared" si="76"/>
        <v>669</v>
      </c>
      <c r="ACT24" s="207">
        <f t="shared" si="76"/>
        <v>1000</v>
      </c>
      <c r="ACU24" s="494">
        <f t="shared" si="102"/>
        <v>0.66900000000000004</v>
      </c>
      <c r="ACW24" s="495">
        <f t="shared" si="103"/>
        <v>0.70962962962962972</v>
      </c>
      <c r="ACX24" s="496">
        <v>5</v>
      </c>
    </row>
    <row r="25" spans="1:778" s="102" customFormat="1" x14ac:dyDescent="0.35">
      <c r="A25" s="51" t="s">
        <v>52</v>
      </c>
      <c r="B25" s="165" t="s">
        <v>91</v>
      </c>
      <c r="C25" s="307"/>
      <c r="D25" s="308"/>
      <c r="E25" s="308"/>
      <c r="F25" s="308">
        <v>10</v>
      </c>
      <c r="G25" s="308"/>
      <c r="H25" s="309">
        <v>22</v>
      </c>
      <c r="I25" s="310"/>
      <c r="J25" s="57"/>
      <c r="K25" s="58">
        <f t="shared" si="0"/>
        <v>32</v>
      </c>
      <c r="L25" s="311"/>
      <c r="M25" s="312"/>
      <c r="N25" s="312"/>
      <c r="O25" s="312"/>
      <c r="P25" s="312"/>
      <c r="Q25" s="313">
        <f>32+32+20</f>
        <v>84</v>
      </c>
      <c r="R25" s="375"/>
      <c r="S25" s="376"/>
      <c r="T25" s="58">
        <f t="shared" si="1"/>
        <v>84</v>
      </c>
      <c r="U25" s="314"/>
      <c r="V25" s="315"/>
      <c r="W25" s="315"/>
      <c r="X25" s="315"/>
      <c r="Y25" s="315"/>
      <c r="Z25" s="316"/>
      <c r="AA25" s="317"/>
      <c r="AB25" s="66"/>
      <c r="AC25" s="67">
        <f t="shared" si="2"/>
        <v>0</v>
      </c>
      <c r="AD25" s="319"/>
      <c r="AE25" s="308"/>
      <c r="AF25" s="308"/>
      <c r="AG25" s="308"/>
      <c r="AH25" s="308"/>
      <c r="AI25" s="309">
        <v>39</v>
      </c>
      <c r="AJ25" s="310"/>
      <c r="AK25" s="57"/>
      <c r="AL25" s="88">
        <f t="shared" si="3"/>
        <v>39</v>
      </c>
      <c r="AM25" s="445"/>
      <c r="AN25" s="446"/>
      <c r="AO25" s="446"/>
      <c r="AP25" s="446"/>
      <c r="AQ25" s="446"/>
      <c r="AR25" s="447"/>
      <c r="AS25" s="448"/>
      <c r="AT25" s="449"/>
      <c r="AU25" s="459">
        <f t="shared" si="4"/>
        <v>0</v>
      </c>
      <c r="AV25" s="81">
        <v>187</v>
      </c>
      <c r="AW25" s="82">
        <f t="shared" si="77"/>
        <v>155</v>
      </c>
      <c r="AX25" s="82">
        <v>200</v>
      </c>
      <c r="AY25" s="172">
        <f t="shared" si="5"/>
        <v>0.77500000000000002</v>
      </c>
      <c r="AZ25" s="84"/>
      <c r="BA25" s="307"/>
      <c r="BB25" s="308"/>
      <c r="BC25" s="308"/>
      <c r="BD25" s="308"/>
      <c r="BE25" s="308"/>
      <c r="BF25" s="309">
        <f>30+28</f>
        <v>58</v>
      </c>
      <c r="BG25" s="310"/>
      <c r="BH25" s="57"/>
      <c r="BI25" s="86">
        <f t="shared" si="6"/>
        <v>58</v>
      </c>
      <c r="BJ25" s="318"/>
      <c r="BK25" s="308"/>
      <c r="BL25" s="339"/>
      <c r="BM25" s="339">
        <v>14</v>
      </c>
      <c r="BN25" s="339"/>
      <c r="BO25" s="340"/>
      <c r="BP25" s="310"/>
      <c r="BQ25" s="57"/>
      <c r="BR25" s="58">
        <f t="shared" si="7"/>
        <v>14</v>
      </c>
      <c r="BS25" s="319"/>
      <c r="BT25" s="308"/>
      <c r="BU25" s="308"/>
      <c r="BV25" s="308"/>
      <c r="BW25" s="308"/>
      <c r="BX25" s="309">
        <v>35</v>
      </c>
      <c r="BY25" s="310"/>
      <c r="BZ25" s="57"/>
      <c r="CA25" s="58">
        <f t="shared" si="105"/>
        <v>35</v>
      </c>
      <c r="CB25" s="319"/>
      <c r="CC25" s="308"/>
      <c r="CD25" s="308"/>
      <c r="CE25" s="308"/>
      <c r="CF25" s="308"/>
      <c r="CG25" s="309">
        <v>30</v>
      </c>
      <c r="CH25" s="310"/>
      <c r="CI25" s="57"/>
      <c r="CJ25" s="88">
        <f t="shared" si="106"/>
        <v>30</v>
      </c>
      <c r="CK25" s="338"/>
      <c r="CL25" s="339"/>
      <c r="CM25" s="339"/>
      <c r="CN25" s="339"/>
      <c r="CO25" s="339"/>
      <c r="CP25" s="341">
        <f>16+11+7</f>
        <v>34</v>
      </c>
      <c r="CQ25" s="310"/>
      <c r="CR25" s="57"/>
      <c r="CS25" s="91">
        <f t="shared" si="78"/>
        <v>34</v>
      </c>
      <c r="CT25" s="92">
        <v>214</v>
      </c>
      <c r="CU25" s="93">
        <f t="shared" si="79"/>
        <v>171</v>
      </c>
      <c r="CV25" s="93">
        <v>250</v>
      </c>
      <c r="CW25" s="175">
        <f t="shared" si="8"/>
        <v>0.68400000000000005</v>
      </c>
      <c r="CX25" s="95"/>
      <c r="CY25" s="307"/>
      <c r="CZ25" s="308"/>
      <c r="DA25" s="308"/>
      <c r="DB25" s="308"/>
      <c r="DC25" s="308"/>
      <c r="DD25" s="309">
        <v>51</v>
      </c>
      <c r="DE25" s="310"/>
      <c r="DF25" s="57"/>
      <c r="DG25" s="58">
        <f t="shared" si="9"/>
        <v>51</v>
      </c>
      <c r="DH25" s="319"/>
      <c r="DI25" s="308"/>
      <c r="DJ25" s="339"/>
      <c r="DK25" s="339"/>
      <c r="DL25" s="339"/>
      <c r="DM25" s="340">
        <f>5+8+17+16</f>
        <v>46</v>
      </c>
      <c r="DN25" s="310"/>
      <c r="DO25" s="57"/>
      <c r="DP25" s="58">
        <f t="shared" si="10"/>
        <v>46</v>
      </c>
      <c r="DQ25" s="319"/>
      <c r="DR25" s="308"/>
      <c r="DS25" s="308"/>
      <c r="DT25" s="308"/>
      <c r="DU25" s="308"/>
      <c r="DV25" s="309">
        <v>41</v>
      </c>
      <c r="DW25" s="310"/>
      <c r="DX25" s="57"/>
      <c r="DY25" s="58">
        <f t="shared" si="80"/>
        <v>41</v>
      </c>
      <c r="DZ25" s="319"/>
      <c r="EA25" s="308"/>
      <c r="EB25" s="308"/>
      <c r="EC25" s="308"/>
      <c r="ED25" s="308"/>
      <c r="EE25" s="309">
        <v>43</v>
      </c>
      <c r="EF25" s="310"/>
      <c r="EG25" s="57"/>
      <c r="EH25" s="96">
        <f t="shared" si="81"/>
        <v>43</v>
      </c>
      <c r="EI25" s="351"/>
      <c r="EJ25" s="339"/>
      <c r="EK25" s="339"/>
      <c r="EL25" s="339"/>
      <c r="EM25" s="339"/>
      <c r="EN25" s="341">
        <v>49</v>
      </c>
      <c r="EO25" s="310"/>
      <c r="EP25" s="57"/>
      <c r="EQ25" s="98">
        <f t="shared" si="82"/>
        <v>49</v>
      </c>
      <c r="ER25" s="99">
        <v>232</v>
      </c>
      <c r="ES25" s="100">
        <f t="shared" si="111"/>
        <v>230</v>
      </c>
      <c r="ET25" s="346">
        <v>250</v>
      </c>
      <c r="EU25" s="177">
        <f t="shared" si="11"/>
        <v>0.92</v>
      </c>
      <c r="EW25" s="307"/>
      <c r="EX25" s="308"/>
      <c r="EY25" s="308"/>
      <c r="EZ25" s="308"/>
      <c r="FA25" s="308"/>
      <c r="FB25" s="309">
        <v>38</v>
      </c>
      <c r="FC25" s="310"/>
      <c r="FD25" s="57"/>
      <c r="FE25" s="58">
        <f t="shared" si="12"/>
        <v>38</v>
      </c>
      <c r="FF25" s="319"/>
      <c r="FG25" s="308"/>
      <c r="FH25" s="339"/>
      <c r="FI25" s="339"/>
      <c r="FJ25" s="339"/>
      <c r="FK25" s="340">
        <v>53</v>
      </c>
      <c r="FL25" s="310"/>
      <c r="FM25" s="57"/>
      <c r="FN25" s="58">
        <f t="shared" si="13"/>
        <v>53</v>
      </c>
      <c r="FO25" s="319"/>
      <c r="FP25" s="308"/>
      <c r="FQ25" s="308"/>
      <c r="FR25" s="308"/>
      <c r="FS25" s="308"/>
      <c r="FT25" s="309">
        <v>26</v>
      </c>
      <c r="FU25" s="310"/>
      <c r="FV25" s="57"/>
      <c r="FW25" s="58">
        <f t="shared" si="83"/>
        <v>26</v>
      </c>
      <c r="FX25" s="319"/>
      <c r="FY25" s="308"/>
      <c r="FZ25" s="308"/>
      <c r="GA25" s="308"/>
      <c r="GB25" s="308"/>
      <c r="GC25" s="309">
        <v>29</v>
      </c>
      <c r="GD25" s="310"/>
      <c r="GE25" s="57"/>
      <c r="GF25" s="58">
        <f t="shared" si="84"/>
        <v>29</v>
      </c>
      <c r="GG25" s="338"/>
      <c r="GH25" s="339"/>
      <c r="GI25" s="339"/>
      <c r="GJ25" s="339"/>
      <c r="GK25" s="339"/>
      <c r="GL25" s="341">
        <v>38</v>
      </c>
      <c r="GM25" s="310"/>
      <c r="GN25" s="57"/>
      <c r="GO25" s="58">
        <f t="shared" si="85"/>
        <v>38</v>
      </c>
      <c r="GP25" s="103">
        <v>241</v>
      </c>
      <c r="GQ25" s="104">
        <f t="shared" si="135"/>
        <v>184</v>
      </c>
      <c r="GR25" s="104">
        <v>250</v>
      </c>
      <c r="GS25" s="178">
        <f t="shared" si="14"/>
        <v>0.73599999999999999</v>
      </c>
      <c r="GT25" s="307"/>
      <c r="GU25" s="308"/>
      <c r="GV25" s="308"/>
      <c r="GW25" s="308"/>
      <c r="GX25" s="308"/>
      <c r="GY25" s="309"/>
      <c r="GZ25" s="310"/>
      <c r="HA25" s="57"/>
      <c r="HB25" s="57"/>
      <c r="HC25" s="58">
        <f t="shared" si="15"/>
        <v>0</v>
      </c>
      <c r="HD25" s="319"/>
      <c r="HE25" s="308"/>
      <c r="HF25" s="339"/>
      <c r="HG25" s="339"/>
      <c r="HH25" s="339"/>
      <c r="HI25" s="340"/>
      <c r="HJ25" s="310"/>
      <c r="HK25" s="57"/>
      <c r="HL25" s="57"/>
      <c r="HM25" s="58">
        <f t="shared" si="16"/>
        <v>0</v>
      </c>
      <c r="HN25" s="319"/>
      <c r="HO25" s="308"/>
      <c r="HP25" s="308"/>
      <c r="HQ25" s="308"/>
      <c r="HR25" s="308"/>
      <c r="HS25" s="309"/>
      <c r="HT25" s="310"/>
      <c r="HU25" s="57"/>
      <c r="HV25" s="57"/>
      <c r="HW25" s="58">
        <f t="shared" si="17"/>
        <v>0</v>
      </c>
      <c r="HX25" s="319"/>
      <c r="HY25" s="308"/>
      <c r="HZ25" s="308"/>
      <c r="IA25" s="308"/>
      <c r="IB25" s="308"/>
      <c r="IC25" s="309"/>
      <c r="ID25" s="310"/>
      <c r="IE25" s="57"/>
      <c r="IF25" s="57"/>
      <c r="IG25" s="88">
        <f t="shared" si="18"/>
        <v>0</v>
      </c>
      <c r="IH25" s="338"/>
      <c r="II25" s="339"/>
      <c r="IJ25" s="339"/>
      <c r="IK25" s="339"/>
      <c r="IL25" s="339"/>
      <c r="IM25" s="341"/>
      <c r="IN25" s="310"/>
      <c r="IO25" s="57"/>
      <c r="IP25" s="57"/>
      <c r="IQ25" s="58">
        <f t="shared" si="19"/>
        <v>0</v>
      </c>
      <c r="IR25" s="106"/>
      <c r="IS25" s="107"/>
      <c r="IT25" s="107"/>
      <c r="IU25" s="179"/>
      <c r="IV25" s="95"/>
      <c r="IW25" s="109">
        <f t="shared" si="87"/>
        <v>874</v>
      </c>
      <c r="IX25" s="110">
        <f t="shared" si="87"/>
        <v>740</v>
      </c>
      <c r="IY25" s="110">
        <f t="shared" si="87"/>
        <v>950</v>
      </c>
      <c r="IZ25" s="493">
        <f t="shared" si="20"/>
        <v>0.77894736842105261</v>
      </c>
      <c r="JB25" s="182" t="s">
        <v>66</v>
      </c>
      <c r="JC25" s="318"/>
      <c r="JD25" s="308"/>
      <c r="JE25" s="308"/>
      <c r="JF25" s="308"/>
      <c r="JG25" s="308"/>
      <c r="JH25" s="309">
        <v>39</v>
      </c>
      <c r="JI25" s="310"/>
      <c r="JJ25" s="57"/>
      <c r="JK25" s="57"/>
      <c r="JL25" s="58">
        <f t="shared" si="112"/>
        <v>39</v>
      </c>
      <c r="JM25" s="319"/>
      <c r="JN25" s="308"/>
      <c r="JO25" s="339"/>
      <c r="JP25" s="339"/>
      <c r="JQ25" s="339"/>
      <c r="JR25" s="340">
        <v>60</v>
      </c>
      <c r="JS25" s="310"/>
      <c r="JT25" s="57"/>
      <c r="JU25" s="57"/>
      <c r="JV25" s="58">
        <f t="shared" si="125"/>
        <v>60</v>
      </c>
      <c r="JW25" s="319"/>
      <c r="JX25" s="308"/>
      <c r="JY25" s="308"/>
      <c r="JZ25" s="308"/>
      <c r="KA25" s="308"/>
      <c r="KB25" s="309">
        <v>77</v>
      </c>
      <c r="KC25" s="310"/>
      <c r="KD25" s="57"/>
      <c r="KE25" s="57"/>
      <c r="KF25" s="58">
        <f t="shared" si="23"/>
        <v>77</v>
      </c>
      <c r="KG25" s="319"/>
      <c r="KH25" s="308"/>
      <c r="KI25" s="308"/>
      <c r="KJ25" s="308"/>
      <c r="KK25" s="308"/>
      <c r="KL25" s="309">
        <v>50</v>
      </c>
      <c r="KM25" s="310"/>
      <c r="KN25" s="57"/>
      <c r="KO25" s="57"/>
      <c r="KP25" s="88">
        <f t="shared" si="24"/>
        <v>50</v>
      </c>
      <c r="KQ25" s="338"/>
      <c r="KR25" s="339"/>
      <c r="KS25" s="339"/>
      <c r="KT25" s="339"/>
      <c r="KU25" s="339"/>
      <c r="KV25" s="341">
        <v>51</v>
      </c>
      <c r="KW25" s="56"/>
      <c r="KX25" s="57">
        <v>277</v>
      </c>
      <c r="KY25" s="57"/>
      <c r="KZ25" s="58">
        <f t="shared" si="25"/>
        <v>51</v>
      </c>
      <c r="LA25" s="81">
        <f t="shared" si="107"/>
        <v>277</v>
      </c>
      <c r="LB25" s="82">
        <f t="shared" si="26"/>
        <v>277</v>
      </c>
      <c r="LC25" s="348">
        <v>250</v>
      </c>
      <c r="LD25" s="82">
        <f t="shared" si="88"/>
        <v>27</v>
      </c>
      <c r="LE25" s="192">
        <f t="shared" si="89"/>
        <v>1.1080000000000001</v>
      </c>
      <c r="LF25" s="115"/>
      <c r="LG25" s="322" t="s">
        <v>66</v>
      </c>
      <c r="LH25" s="318"/>
      <c r="LI25" s="308"/>
      <c r="LJ25" s="308"/>
      <c r="LK25" s="308"/>
      <c r="LL25" s="308"/>
      <c r="LM25" s="309">
        <v>57</v>
      </c>
      <c r="LN25" s="310"/>
      <c r="LO25" s="57"/>
      <c r="LP25" s="57"/>
      <c r="LQ25" s="58">
        <f t="shared" si="113"/>
        <v>57</v>
      </c>
      <c r="LR25" s="319"/>
      <c r="LS25" s="308"/>
      <c r="LT25" s="339"/>
      <c r="LU25" s="339"/>
      <c r="LV25" s="339"/>
      <c r="LW25" s="340">
        <v>59</v>
      </c>
      <c r="LX25" s="310"/>
      <c r="LY25" s="57"/>
      <c r="LZ25" s="57"/>
      <c r="MA25" s="58">
        <f t="shared" si="126"/>
        <v>59</v>
      </c>
      <c r="MB25" s="319"/>
      <c r="MC25" s="308"/>
      <c r="MD25" s="308"/>
      <c r="ME25" s="308"/>
      <c r="MF25" s="308"/>
      <c r="MG25" s="309">
        <v>35</v>
      </c>
      <c r="MH25" s="310"/>
      <c r="MI25" s="57"/>
      <c r="MJ25" s="57"/>
      <c r="MK25" s="58">
        <f t="shared" si="29"/>
        <v>35</v>
      </c>
      <c r="ML25" s="319"/>
      <c r="MM25" s="308"/>
      <c r="MN25" s="308"/>
      <c r="MO25" s="308"/>
      <c r="MP25" s="308"/>
      <c r="MQ25" s="309">
        <v>18</v>
      </c>
      <c r="MR25" s="310"/>
      <c r="MS25" s="57"/>
      <c r="MT25" s="57"/>
      <c r="MU25" s="88">
        <f t="shared" si="30"/>
        <v>18</v>
      </c>
      <c r="MV25" s="338"/>
      <c r="MW25" s="339"/>
      <c r="MX25" s="339"/>
      <c r="MY25" s="339"/>
      <c r="MZ25" s="339"/>
      <c r="NA25" s="341">
        <v>35</v>
      </c>
      <c r="NB25" s="310"/>
      <c r="NC25" s="57">
        <v>215</v>
      </c>
      <c r="ND25" s="57"/>
      <c r="NE25" s="58">
        <f t="shared" si="31"/>
        <v>35</v>
      </c>
      <c r="NF25" s="117">
        <f t="shared" si="90"/>
        <v>215</v>
      </c>
      <c r="NG25" s="93">
        <f t="shared" si="32"/>
        <v>204</v>
      </c>
      <c r="NH25" s="349">
        <v>250</v>
      </c>
      <c r="NI25" s="93">
        <f t="shared" si="91"/>
        <v>-46</v>
      </c>
      <c r="NJ25" s="196">
        <f t="shared" si="108"/>
        <v>0.81599999999999995</v>
      </c>
      <c r="NK25" s="119"/>
      <c r="NL25" s="322" t="s">
        <v>66</v>
      </c>
      <c r="NM25" s="318"/>
      <c r="NN25" s="308"/>
      <c r="NO25" s="308"/>
      <c r="NP25" s="308">
        <v>4</v>
      </c>
      <c r="NQ25" s="308"/>
      <c r="NR25" s="309">
        <v>12</v>
      </c>
      <c r="NS25" s="310"/>
      <c r="NT25" s="57"/>
      <c r="NU25" s="57"/>
      <c r="NV25" s="58">
        <f t="shared" si="114"/>
        <v>16</v>
      </c>
      <c r="NW25" s="319"/>
      <c r="NX25" s="308"/>
      <c r="NY25" s="339"/>
      <c r="NZ25" s="339">
        <v>20</v>
      </c>
      <c r="OA25" s="339"/>
      <c r="OB25" s="340"/>
      <c r="OC25" s="310"/>
      <c r="OD25" s="57"/>
      <c r="OE25" s="57"/>
      <c r="OF25" s="58">
        <f t="shared" si="127"/>
        <v>20</v>
      </c>
      <c r="OG25" s="319"/>
      <c r="OH25" s="308"/>
      <c r="OI25" s="308"/>
      <c r="OJ25" s="308">
        <v>10</v>
      </c>
      <c r="OK25" s="308"/>
      <c r="OL25" s="309">
        <v>7</v>
      </c>
      <c r="OM25" s="310"/>
      <c r="ON25" s="57"/>
      <c r="OO25" s="57"/>
      <c r="OP25" s="58">
        <f t="shared" si="35"/>
        <v>17</v>
      </c>
      <c r="OQ25" s="338"/>
      <c r="OR25" s="339"/>
      <c r="OS25" s="339"/>
      <c r="OT25" s="339">
        <v>14</v>
      </c>
      <c r="OU25" s="339"/>
      <c r="OV25" s="340">
        <v>17</v>
      </c>
      <c r="OW25" s="310"/>
      <c r="OX25" s="57"/>
      <c r="OY25" s="57"/>
      <c r="OZ25" s="88">
        <f t="shared" si="36"/>
        <v>31</v>
      </c>
      <c r="PA25" s="391"/>
      <c r="PB25" s="392"/>
      <c r="PC25" s="392"/>
      <c r="PD25" s="392"/>
      <c r="PE25" s="392"/>
      <c r="PF25" s="400"/>
      <c r="PG25" s="394"/>
      <c r="PH25" s="395"/>
      <c r="PI25" s="395"/>
      <c r="PJ25" s="396">
        <f t="shared" si="37"/>
        <v>0</v>
      </c>
      <c r="PK25" s="99">
        <f t="shared" si="38"/>
        <v>0</v>
      </c>
      <c r="PL25" s="100">
        <f t="shared" si="39"/>
        <v>84</v>
      </c>
      <c r="PM25" s="346">
        <v>250</v>
      </c>
      <c r="PN25" s="100">
        <f t="shared" si="92"/>
        <v>-166</v>
      </c>
      <c r="PO25" s="198">
        <f t="shared" si="109"/>
        <v>0.33600000000000002</v>
      </c>
      <c r="PP25" s="119"/>
      <c r="PQ25" s="322" t="s">
        <v>66</v>
      </c>
      <c r="PR25" s="318"/>
      <c r="PS25" s="308"/>
      <c r="PT25" s="308"/>
      <c r="PU25" s="308">
        <v>8</v>
      </c>
      <c r="PV25" s="308"/>
      <c r="PW25" s="309">
        <v>17</v>
      </c>
      <c r="PX25" s="310"/>
      <c r="PY25" s="57"/>
      <c r="PZ25" s="57"/>
      <c r="QA25" s="58">
        <f t="shared" si="115"/>
        <v>25</v>
      </c>
      <c r="QB25" s="319"/>
      <c r="QC25" s="308"/>
      <c r="QD25" s="339"/>
      <c r="QE25" s="339">
        <v>14</v>
      </c>
      <c r="QF25" s="339"/>
      <c r="QG25" s="340">
        <v>14</v>
      </c>
      <c r="QH25" s="310">
        <v>2</v>
      </c>
      <c r="QI25" s="57"/>
      <c r="QJ25" s="57"/>
      <c r="QK25" s="58">
        <f t="shared" si="128"/>
        <v>28</v>
      </c>
      <c r="QL25" s="319"/>
      <c r="QM25" s="308"/>
      <c r="QN25" s="308"/>
      <c r="QO25" s="308">
        <v>6</v>
      </c>
      <c r="QP25" s="308"/>
      <c r="QQ25" s="309">
        <v>18</v>
      </c>
      <c r="QR25" s="310"/>
      <c r="QS25" s="57"/>
      <c r="QT25" s="57"/>
      <c r="QU25" s="58">
        <f t="shared" si="42"/>
        <v>24</v>
      </c>
      <c r="QV25" s="319"/>
      <c r="QW25" s="308"/>
      <c r="QX25" s="308"/>
      <c r="QY25" s="308">
        <v>20</v>
      </c>
      <c r="QZ25" s="308"/>
      <c r="RA25" s="309">
        <v>4</v>
      </c>
      <c r="RB25" s="310"/>
      <c r="RC25" s="57"/>
      <c r="RD25" s="57"/>
      <c r="RE25" s="88">
        <f t="shared" si="43"/>
        <v>24</v>
      </c>
      <c r="RF25" s="338"/>
      <c r="RG25" s="339"/>
      <c r="RH25" s="339"/>
      <c r="RI25" s="339"/>
      <c r="RJ25" s="339"/>
      <c r="RK25" s="341">
        <v>38</v>
      </c>
      <c r="RL25" s="310"/>
      <c r="RM25" s="57">
        <v>217</v>
      </c>
      <c r="RN25" s="57"/>
      <c r="RO25" s="58">
        <f t="shared" si="44"/>
        <v>38</v>
      </c>
      <c r="RP25" s="121">
        <f t="shared" si="93"/>
        <v>217</v>
      </c>
      <c r="RQ25" s="104">
        <f t="shared" si="45"/>
        <v>139</v>
      </c>
      <c r="RR25" s="350">
        <v>250</v>
      </c>
      <c r="RS25" s="104">
        <f t="shared" si="94"/>
        <v>-111</v>
      </c>
      <c r="RT25" s="205">
        <f t="shared" si="110"/>
        <v>0.55600000000000005</v>
      </c>
      <c r="RV25" s="123">
        <f t="shared" ref="RV25:RX29" si="136">+LA25+NF25+PK25+RP25</f>
        <v>709</v>
      </c>
      <c r="RW25" s="124">
        <f t="shared" si="136"/>
        <v>704</v>
      </c>
      <c r="RX25" s="124">
        <f t="shared" si="136"/>
        <v>1000</v>
      </c>
      <c r="RY25" s="494">
        <f t="shared" si="96"/>
        <v>0.70399999999999996</v>
      </c>
      <c r="SA25" s="165" t="s">
        <v>66</v>
      </c>
      <c r="SB25" s="324"/>
      <c r="SC25" s="200"/>
      <c r="SD25" s="200"/>
      <c r="SE25" s="200"/>
      <c r="SF25" s="200"/>
      <c r="SG25" s="325">
        <v>26</v>
      </c>
      <c r="SH25" s="326"/>
      <c r="SI25" s="134"/>
      <c r="SJ25" s="134"/>
      <c r="SK25" s="131">
        <f t="shared" si="116"/>
        <v>26</v>
      </c>
      <c r="SL25" s="327"/>
      <c r="SM25" s="200"/>
      <c r="SN25" s="200"/>
      <c r="SO25" s="200"/>
      <c r="SP25" s="200"/>
      <c r="SQ25" s="325">
        <v>39</v>
      </c>
      <c r="SR25" s="326"/>
      <c r="SS25" s="134"/>
      <c r="ST25" s="134"/>
      <c r="SU25" s="131">
        <f t="shared" si="129"/>
        <v>39</v>
      </c>
      <c r="SV25" s="327"/>
      <c r="SW25" s="200"/>
      <c r="SX25" s="200"/>
      <c r="SY25" s="200"/>
      <c r="SZ25" s="200"/>
      <c r="TA25" s="325">
        <v>29</v>
      </c>
      <c r="TB25" s="326"/>
      <c r="TC25" s="134"/>
      <c r="TD25" s="134"/>
      <c r="TE25" s="131">
        <f t="shared" si="117"/>
        <v>29</v>
      </c>
      <c r="TF25" s="327"/>
      <c r="TG25" s="200"/>
      <c r="TH25" s="200"/>
      <c r="TI25" s="200"/>
      <c r="TJ25" s="200"/>
      <c r="TK25" s="325">
        <v>37</v>
      </c>
      <c r="TL25" s="326"/>
      <c r="TM25" s="134"/>
      <c r="TN25" s="134"/>
      <c r="TO25" s="131">
        <f t="shared" si="49"/>
        <v>37</v>
      </c>
      <c r="TP25" s="327"/>
      <c r="TQ25" s="200"/>
      <c r="TR25" s="200"/>
      <c r="TS25" s="200"/>
      <c r="TT25" s="200"/>
      <c r="TU25" s="325">
        <v>43</v>
      </c>
      <c r="TV25" s="326"/>
      <c r="TW25" s="134"/>
      <c r="TX25" s="134"/>
      <c r="TY25" s="136">
        <f t="shared" si="50"/>
        <v>43</v>
      </c>
      <c r="TZ25" s="209">
        <f t="shared" ref="TZ25:UA29" si="137">+SJ25+ST25+TD25+TN25+TX25</f>
        <v>0</v>
      </c>
      <c r="UA25" s="210">
        <f t="shared" si="137"/>
        <v>174</v>
      </c>
      <c r="UB25" s="210">
        <v>250</v>
      </c>
      <c r="UC25" s="211">
        <f t="shared" si="51"/>
        <v>0.69599999999999995</v>
      </c>
      <c r="UD25" s="140"/>
      <c r="UE25" s="220" t="s">
        <v>66</v>
      </c>
      <c r="UF25" s="324"/>
      <c r="UG25" s="200"/>
      <c r="UH25" s="200"/>
      <c r="UI25" s="200"/>
      <c r="UJ25" s="200"/>
      <c r="UK25" s="325">
        <v>23</v>
      </c>
      <c r="UL25" s="326"/>
      <c r="UM25" s="134"/>
      <c r="UN25" s="134"/>
      <c r="UO25" s="131">
        <f t="shared" si="118"/>
        <v>23</v>
      </c>
      <c r="UP25" s="327"/>
      <c r="UQ25" s="200"/>
      <c r="UR25" s="200"/>
      <c r="US25" s="200"/>
      <c r="UT25" s="200"/>
      <c r="UU25" s="325">
        <v>21</v>
      </c>
      <c r="UV25" s="326"/>
      <c r="UW25" s="134"/>
      <c r="UX25" s="134"/>
      <c r="UY25" s="131">
        <f t="shared" si="130"/>
        <v>21</v>
      </c>
      <c r="UZ25" s="327"/>
      <c r="VA25" s="200"/>
      <c r="VB25" s="200"/>
      <c r="VC25" s="200"/>
      <c r="VD25" s="200"/>
      <c r="VE25" s="325">
        <v>32</v>
      </c>
      <c r="VF25" s="326"/>
      <c r="VG25" s="134"/>
      <c r="VH25" s="134"/>
      <c r="VI25" s="131">
        <f t="shared" si="119"/>
        <v>32</v>
      </c>
      <c r="VJ25" s="327"/>
      <c r="VK25" s="200"/>
      <c r="VL25" s="200"/>
      <c r="VM25" s="200"/>
      <c r="VN25" s="200"/>
      <c r="VO25" s="325">
        <v>22</v>
      </c>
      <c r="VP25" s="326"/>
      <c r="VQ25" s="134"/>
      <c r="VR25" s="134"/>
      <c r="VS25" s="131">
        <f t="shared" si="55"/>
        <v>22</v>
      </c>
      <c r="VT25" s="327"/>
      <c r="VU25" s="200"/>
      <c r="VV25" s="200"/>
      <c r="VW25" s="200"/>
      <c r="VX25" s="200"/>
      <c r="VY25" s="325"/>
      <c r="VZ25" s="326"/>
      <c r="WA25" s="134"/>
      <c r="WB25" s="134"/>
      <c r="WC25" s="131">
        <f t="shared" si="56"/>
        <v>0</v>
      </c>
      <c r="WD25" s="216">
        <f t="shared" ref="WD25:WE29" si="138">+UN25+UX25+VH25+VR25+WB25</f>
        <v>0</v>
      </c>
      <c r="WE25" s="217">
        <f t="shared" si="138"/>
        <v>98</v>
      </c>
      <c r="WF25" s="217">
        <v>200</v>
      </c>
      <c r="WG25" s="218">
        <f t="shared" si="57"/>
        <v>0.49</v>
      </c>
      <c r="WH25" s="219"/>
      <c r="WI25" s="220" t="s">
        <v>66</v>
      </c>
      <c r="WJ25" s="324"/>
      <c r="WK25" s="200"/>
      <c r="WL25" s="200"/>
      <c r="WM25" s="200"/>
      <c r="WN25" s="200"/>
      <c r="WO25" s="325"/>
      <c r="WP25" s="326"/>
      <c r="WQ25" s="134"/>
      <c r="WR25" s="134"/>
      <c r="WS25" s="131">
        <f t="shared" si="58"/>
        <v>0</v>
      </c>
      <c r="WT25" s="327"/>
      <c r="WU25" s="200"/>
      <c r="WV25" s="200"/>
      <c r="WW25" s="200"/>
      <c r="WX25" s="200"/>
      <c r="WY25" s="325"/>
      <c r="WZ25" s="326"/>
      <c r="XA25" s="134"/>
      <c r="XB25" s="134"/>
      <c r="XC25" s="131">
        <f t="shared" si="131"/>
        <v>0</v>
      </c>
      <c r="XD25" s="327"/>
      <c r="XE25" s="200"/>
      <c r="XF25" s="200"/>
      <c r="XG25" s="200"/>
      <c r="XH25" s="200"/>
      <c r="XI25" s="325"/>
      <c r="XJ25" s="326"/>
      <c r="XK25" s="134"/>
      <c r="XL25" s="134"/>
      <c r="XM25" s="131">
        <f t="shared" si="120"/>
        <v>0</v>
      </c>
      <c r="XN25" s="327"/>
      <c r="XO25" s="200"/>
      <c r="XP25" s="200"/>
      <c r="XQ25" s="200"/>
      <c r="XR25" s="200"/>
      <c r="XS25" s="325"/>
      <c r="XT25" s="326"/>
      <c r="XU25" s="134"/>
      <c r="XV25" s="134"/>
      <c r="XW25" s="131">
        <f t="shared" si="61"/>
        <v>0</v>
      </c>
      <c r="XX25" s="327"/>
      <c r="XY25" s="200"/>
      <c r="XZ25" s="200"/>
      <c r="YA25" s="200"/>
      <c r="YB25" s="200"/>
      <c r="YC25" s="325"/>
      <c r="YD25" s="326"/>
      <c r="YE25" s="134"/>
      <c r="YF25" s="134"/>
      <c r="YG25" s="131">
        <f t="shared" si="62"/>
        <v>0</v>
      </c>
      <c r="YH25" s="221">
        <f t="shared" ref="YH25:YI30" si="139">+WR25+XB25+XL25+XV25+YF25</f>
        <v>0</v>
      </c>
      <c r="YI25" s="148">
        <f t="shared" si="139"/>
        <v>0</v>
      </c>
      <c r="YJ25" s="222">
        <v>0</v>
      </c>
      <c r="YK25" s="223">
        <v>0</v>
      </c>
      <c r="YL25" s="150"/>
      <c r="YM25" s="328"/>
      <c r="YN25" s="200"/>
      <c r="YO25" s="200"/>
      <c r="YP25" s="200"/>
      <c r="YQ25" s="200"/>
      <c r="YR25" s="325">
        <v>40</v>
      </c>
      <c r="YS25" s="326"/>
      <c r="YT25" s="134"/>
      <c r="YU25" s="134"/>
      <c r="YV25" s="131">
        <f t="shared" si="121"/>
        <v>40</v>
      </c>
      <c r="YW25" s="327"/>
      <c r="YX25" s="200"/>
      <c r="YY25" s="200"/>
      <c r="YZ25" s="200"/>
      <c r="ZA25" s="200"/>
      <c r="ZB25" s="325">
        <v>23</v>
      </c>
      <c r="ZC25" s="326"/>
      <c r="ZD25" s="134"/>
      <c r="ZE25" s="134"/>
      <c r="ZF25" s="131">
        <f t="shared" si="132"/>
        <v>23</v>
      </c>
      <c r="ZG25" s="327"/>
      <c r="ZH25" s="200"/>
      <c r="ZI25" s="200"/>
      <c r="ZJ25" s="200"/>
      <c r="ZK25" s="200"/>
      <c r="ZL25" s="325">
        <v>33</v>
      </c>
      <c r="ZM25" s="326"/>
      <c r="ZN25" s="134"/>
      <c r="ZO25" s="134"/>
      <c r="ZP25" s="131">
        <f t="shared" si="122"/>
        <v>33</v>
      </c>
      <c r="ZQ25" s="327"/>
      <c r="ZR25" s="200"/>
      <c r="ZS25" s="200"/>
      <c r="ZT25" s="200"/>
      <c r="ZU25" s="200"/>
      <c r="ZV25" s="325">
        <v>29</v>
      </c>
      <c r="ZW25" s="326"/>
      <c r="ZX25" s="134"/>
      <c r="ZY25" s="134"/>
      <c r="ZZ25" s="131">
        <f t="shared" si="67"/>
        <v>29</v>
      </c>
      <c r="AAA25" s="327"/>
      <c r="AAB25" s="200"/>
      <c r="AAC25" s="200"/>
      <c r="AAD25" s="200"/>
      <c r="AAE25" s="200"/>
      <c r="AAF25" s="325">
        <v>43</v>
      </c>
      <c r="AAG25" s="326"/>
      <c r="AAH25" s="134"/>
      <c r="AAI25" s="134"/>
      <c r="AAJ25" s="131">
        <f t="shared" si="68"/>
        <v>43</v>
      </c>
      <c r="AAK25" s="226">
        <f t="shared" si="69"/>
        <v>168</v>
      </c>
      <c r="AAL25" s="226">
        <v>250</v>
      </c>
      <c r="AAM25" s="227">
        <f t="shared" si="70"/>
        <v>0.67200000000000004</v>
      </c>
      <c r="AAN25" s="329" t="s">
        <v>66</v>
      </c>
      <c r="AAO25" s="324"/>
      <c r="AAP25" s="200"/>
      <c r="AAQ25" s="200"/>
      <c r="AAR25" s="200"/>
      <c r="AAS25" s="200"/>
      <c r="AAT25" s="325"/>
      <c r="AAU25" s="326"/>
      <c r="AAV25" s="134"/>
      <c r="AAW25" s="134"/>
      <c r="AAX25" s="155"/>
      <c r="AAY25" s="131">
        <f t="shared" si="123"/>
        <v>0</v>
      </c>
      <c r="AAZ25" s="327"/>
      <c r="ABA25" s="200"/>
      <c r="ABB25" s="200"/>
      <c r="ABC25" s="200"/>
      <c r="ABD25" s="200"/>
      <c r="ABE25" s="325">
        <v>36</v>
      </c>
      <c r="ABF25" s="326"/>
      <c r="ABG25" s="134"/>
      <c r="ABH25" s="134"/>
      <c r="ABI25" s="131">
        <f t="shared" si="71"/>
        <v>36</v>
      </c>
      <c r="ABJ25" s="327"/>
      <c r="ABK25" s="200"/>
      <c r="ABL25" s="200"/>
      <c r="ABM25" s="200"/>
      <c r="ABN25" s="200"/>
      <c r="ABO25" s="325">
        <v>51</v>
      </c>
      <c r="ABP25" s="326"/>
      <c r="ABQ25" s="134"/>
      <c r="ABR25" s="134"/>
      <c r="ABS25" s="131">
        <f t="shared" si="124"/>
        <v>51</v>
      </c>
      <c r="ABT25" s="327"/>
      <c r="ABU25" s="200"/>
      <c r="ABV25" s="200"/>
      <c r="ABW25" s="200"/>
      <c r="ABX25" s="200"/>
      <c r="ABY25" s="325">
        <v>48</v>
      </c>
      <c r="ABZ25" s="326"/>
      <c r="ACA25" s="134"/>
      <c r="ACB25" s="134"/>
      <c r="ACC25" s="131">
        <f t="shared" si="73"/>
        <v>48</v>
      </c>
      <c r="ACD25" s="327"/>
      <c r="ACE25" s="200"/>
      <c r="ACF25" s="200"/>
      <c r="ACG25" s="200"/>
      <c r="ACH25" s="200"/>
      <c r="ACI25" s="325">
        <v>33</v>
      </c>
      <c r="ACJ25" s="326"/>
      <c r="ACK25" s="134"/>
      <c r="ACL25" s="134"/>
      <c r="ACM25" s="131">
        <f t="shared" si="74"/>
        <v>33</v>
      </c>
      <c r="ACN25" s="156">
        <f t="shared" si="75"/>
        <v>0</v>
      </c>
      <c r="ACO25" s="157"/>
      <c r="ACP25" s="229">
        <f t="shared" si="100"/>
        <v>168</v>
      </c>
      <c r="ACQ25" s="229">
        <v>200</v>
      </c>
      <c r="ACR25" s="230">
        <f t="shared" si="101"/>
        <v>0.84</v>
      </c>
      <c r="ACS25" s="231">
        <f t="shared" si="76"/>
        <v>608</v>
      </c>
      <c r="ACT25" s="207">
        <f t="shared" si="76"/>
        <v>900</v>
      </c>
      <c r="ACU25" s="494">
        <f t="shared" si="102"/>
        <v>0.67555555555555558</v>
      </c>
      <c r="ACW25" s="495">
        <f t="shared" si="103"/>
        <v>0.71950097465886931</v>
      </c>
      <c r="ACX25" s="496">
        <v>5</v>
      </c>
    </row>
    <row r="26" spans="1:778" s="102" customFormat="1" x14ac:dyDescent="0.35">
      <c r="A26" s="51" t="s">
        <v>46</v>
      </c>
      <c r="B26" s="165" t="s">
        <v>91</v>
      </c>
      <c r="C26" s="307"/>
      <c r="D26" s="308">
        <v>5</v>
      </c>
      <c r="E26" s="308"/>
      <c r="F26" s="308"/>
      <c r="G26" s="308">
        <v>63</v>
      </c>
      <c r="H26" s="309"/>
      <c r="I26" s="310"/>
      <c r="J26" s="57"/>
      <c r="K26" s="58">
        <f t="shared" si="0"/>
        <v>68</v>
      </c>
      <c r="L26" s="311"/>
      <c r="M26" s="312"/>
      <c r="N26" s="312"/>
      <c r="O26" s="312"/>
      <c r="P26" s="497">
        <f>34+24</f>
        <v>58</v>
      </c>
      <c r="Q26" s="313"/>
      <c r="R26" s="375"/>
      <c r="S26" s="376"/>
      <c r="T26" s="58">
        <f t="shared" si="1"/>
        <v>58</v>
      </c>
      <c r="U26" s="314"/>
      <c r="V26" s="315"/>
      <c r="W26" s="315"/>
      <c r="X26" s="315"/>
      <c r="Y26" s="315"/>
      <c r="Z26" s="316"/>
      <c r="AA26" s="317"/>
      <c r="AB26" s="66"/>
      <c r="AC26" s="67">
        <f t="shared" si="2"/>
        <v>0</v>
      </c>
      <c r="AD26" s="319"/>
      <c r="AE26" s="308"/>
      <c r="AF26" s="308"/>
      <c r="AG26" s="308"/>
      <c r="AH26" s="308">
        <f>39+37</f>
        <v>76</v>
      </c>
      <c r="AI26" s="309"/>
      <c r="AJ26" s="310"/>
      <c r="AK26" s="57"/>
      <c r="AL26" s="88">
        <f t="shared" si="3"/>
        <v>76</v>
      </c>
      <c r="AM26" s="319"/>
      <c r="AN26" s="308"/>
      <c r="AO26" s="308"/>
      <c r="AP26" s="308"/>
      <c r="AQ26" s="308">
        <f>34+16</f>
        <v>50</v>
      </c>
      <c r="AR26" s="377"/>
      <c r="AS26" s="310"/>
      <c r="AT26" s="57"/>
      <c r="AU26" s="58">
        <f t="shared" si="4"/>
        <v>50</v>
      </c>
      <c r="AV26" s="81">
        <v>299</v>
      </c>
      <c r="AW26" s="82">
        <f t="shared" si="77"/>
        <v>252</v>
      </c>
      <c r="AX26" s="82">
        <v>200</v>
      </c>
      <c r="AY26" s="172">
        <f t="shared" si="5"/>
        <v>1.26</v>
      </c>
      <c r="AZ26" s="84"/>
      <c r="BA26" s="307"/>
      <c r="BB26" s="308"/>
      <c r="BC26" s="308"/>
      <c r="BD26" s="308"/>
      <c r="BE26" s="308">
        <v>74</v>
      </c>
      <c r="BF26" s="309"/>
      <c r="BG26" s="310"/>
      <c r="BH26" s="57"/>
      <c r="BI26" s="86">
        <f t="shared" si="6"/>
        <v>74</v>
      </c>
      <c r="BJ26" s="318"/>
      <c r="BK26" s="308"/>
      <c r="BL26" s="339"/>
      <c r="BM26" s="339"/>
      <c r="BN26" s="498">
        <v>24</v>
      </c>
      <c r="BO26" s="340"/>
      <c r="BP26" s="310"/>
      <c r="BQ26" s="57"/>
      <c r="BR26" s="58">
        <f t="shared" si="7"/>
        <v>24</v>
      </c>
      <c r="BS26" s="319"/>
      <c r="BT26" s="308"/>
      <c r="BU26" s="308"/>
      <c r="BV26" s="308">
        <f>13+11+13</f>
        <v>37</v>
      </c>
      <c r="BW26" s="308"/>
      <c r="BX26" s="309">
        <v>12</v>
      </c>
      <c r="BY26" s="310"/>
      <c r="BZ26" s="57"/>
      <c r="CA26" s="58">
        <f t="shared" si="105"/>
        <v>49</v>
      </c>
      <c r="CB26" s="319"/>
      <c r="CC26" s="308"/>
      <c r="CD26" s="308"/>
      <c r="CE26" s="308"/>
      <c r="CF26" s="308">
        <v>78</v>
      </c>
      <c r="CG26" s="309"/>
      <c r="CH26" s="310"/>
      <c r="CI26" s="57"/>
      <c r="CJ26" s="88">
        <f t="shared" si="106"/>
        <v>78</v>
      </c>
      <c r="CK26" s="319"/>
      <c r="CL26" s="308"/>
      <c r="CM26" s="308"/>
      <c r="CN26" s="308"/>
      <c r="CO26" s="308">
        <f>29+26+18+26</f>
        <v>99</v>
      </c>
      <c r="CP26" s="377"/>
      <c r="CQ26" s="310"/>
      <c r="CR26" s="57"/>
      <c r="CS26" s="91">
        <f t="shared" si="78"/>
        <v>99</v>
      </c>
      <c r="CT26" s="92">
        <v>402</v>
      </c>
      <c r="CU26" s="93">
        <f t="shared" si="79"/>
        <v>324</v>
      </c>
      <c r="CV26" s="93">
        <v>250</v>
      </c>
      <c r="CW26" s="175">
        <f t="shared" si="8"/>
        <v>1.296</v>
      </c>
      <c r="CX26" s="95"/>
      <c r="CY26" s="307"/>
      <c r="CZ26" s="308"/>
      <c r="DA26" s="308"/>
      <c r="DB26" s="308"/>
      <c r="DC26" s="308">
        <f>12+17+28+15</f>
        <v>72</v>
      </c>
      <c r="DD26" s="309"/>
      <c r="DE26" s="310"/>
      <c r="DF26" s="57"/>
      <c r="DG26" s="58">
        <f t="shared" si="9"/>
        <v>72</v>
      </c>
      <c r="DH26" s="319"/>
      <c r="DI26" s="308"/>
      <c r="DJ26" s="339"/>
      <c r="DK26" s="339"/>
      <c r="DL26" s="498">
        <v>75</v>
      </c>
      <c r="DM26" s="340"/>
      <c r="DN26" s="310"/>
      <c r="DO26" s="57"/>
      <c r="DP26" s="58">
        <f t="shared" si="10"/>
        <v>75</v>
      </c>
      <c r="DQ26" s="319"/>
      <c r="DR26" s="308"/>
      <c r="DS26" s="308"/>
      <c r="DT26" s="308"/>
      <c r="DU26" s="308">
        <v>80</v>
      </c>
      <c r="DV26" s="309"/>
      <c r="DW26" s="310"/>
      <c r="DX26" s="57"/>
      <c r="DY26" s="58">
        <f t="shared" si="80"/>
        <v>80</v>
      </c>
      <c r="DZ26" s="319"/>
      <c r="EA26" s="308"/>
      <c r="EB26" s="308"/>
      <c r="EC26" s="308"/>
      <c r="ED26" s="308">
        <v>62</v>
      </c>
      <c r="EE26" s="309"/>
      <c r="EF26" s="310"/>
      <c r="EG26" s="57"/>
      <c r="EH26" s="96">
        <f t="shared" si="81"/>
        <v>62</v>
      </c>
      <c r="EI26" s="379"/>
      <c r="EJ26" s="308"/>
      <c r="EK26" s="308"/>
      <c r="EL26" s="308"/>
      <c r="EM26" s="308">
        <v>56</v>
      </c>
      <c r="EN26" s="377"/>
      <c r="EO26" s="310"/>
      <c r="EP26" s="57"/>
      <c r="EQ26" s="98">
        <f t="shared" si="82"/>
        <v>56</v>
      </c>
      <c r="ER26" s="99">
        <v>439</v>
      </c>
      <c r="ES26" s="100">
        <f t="shared" si="111"/>
        <v>345</v>
      </c>
      <c r="ET26" s="346">
        <v>250</v>
      </c>
      <c r="EU26" s="177">
        <f t="shared" si="11"/>
        <v>1.38</v>
      </c>
      <c r="EW26" s="307"/>
      <c r="EX26" s="308"/>
      <c r="EY26" s="308"/>
      <c r="EZ26" s="308"/>
      <c r="FA26" s="308">
        <v>54</v>
      </c>
      <c r="FB26" s="309"/>
      <c r="FC26" s="310"/>
      <c r="FD26" s="57"/>
      <c r="FE26" s="58">
        <f t="shared" si="12"/>
        <v>54</v>
      </c>
      <c r="FF26" s="319"/>
      <c r="FG26" s="308"/>
      <c r="FH26" s="339"/>
      <c r="FI26" s="339"/>
      <c r="FJ26" s="498">
        <v>54</v>
      </c>
      <c r="FK26" s="340"/>
      <c r="FL26" s="310"/>
      <c r="FM26" s="57"/>
      <c r="FN26" s="58">
        <f t="shared" si="13"/>
        <v>54</v>
      </c>
      <c r="FO26" s="319"/>
      <c r="FP26" s="308"/>
      <c r="FQ26" s="308"/>
      <c r="FR26" s="308"/>
      <c r="FS26" s="308">
        <v>58</v>
      </c>
      <c r="FT26" s="309"/>
      <c r="FU26" s="310"/>
      <c r="FV26" s="57"/>
      <c r="FW26" s="58">
        <f t="shared" si="83"/>
        <v>58</v>
      </c>
      <c r="FX26" s="319"/>
      <c r="FY26" s="308"/>
      <c r="FZ26" s="308"/>
      <c r="GA26" s="308"/>
      <c r="GB26" s="308">
        <v>50</v>
      </c>
      <c r="GC26" s="309"/>
      <c r="GD26" s="310"/>
      <c r="GE26" s="57"/>
      <c r="GF26" s="58">
        <f t="shared" si="84"/>
        <v>50</v>
      </c>
      <c r="GG26" s="319"/>
      <c r="GH26" s="308"/>
      <c r="GI26" s="308"/>
      <c r="GJ26" s="308"/>
      <c r="GK26" s="308">
        <v>59</v>
      </c>
      <c r="GL26" s="377"/>
      <c r="GM26" s="310"/>
      <c r="GN26" s="57"/>
      <c r="GO26" s="58">
        <f t="shared" si="85"/>
        <v>59</v>
      </c>
      <c r="GP26" s="103">
        <v>379</v>
      </c>
      <c r="GQ26" s="104">
        <f t="shared" si="135"/>
        <v>275</v>
      </c>
      <c r="GR26" s="104">
        <v>250</v>
      </c>
      <c r="GS26" s="178">
        <f t="shared" si="14"/>
        <v>1.1000000000000001</v>
      </c>
      <c r="GT26" s="307"/>
      <c r="GU26" s="308"/>
      <c r="GV26" s="308"/>
      <c r="GW26" s="308"/>
      <c r="GX26" s="308"/>
      <c r="GY26" s="309"/>
      <c r="GZ26" s="310"/>
      <c r="HA26" s="57"/>
      <c r="HB26" s="57"/>
      <c r="HC26" s="58">
        <f t="shared" si="15"/>
        <v>0</v>
      </c>
      <c r="HD26" s="319"/>
      <c r="HE26" s="308"/>
      <c r="HF26" s="339"/>
      <c r="HG26" s="339"/>
      <c r="HH26" s="339"/>
      <c r="HI26" s="340"/>
      <c r="HJ26" s="310"/>
      <c r="HK26" s="57"/>
      <c r="HL26" s="57"/>
      <c r="HM26" s="58">
        <f t="shared" si="16"/>
        <v>0</v>
      </c>
      <c r="HN26" s="319"/>
      <c r="HO26" s="308"/>
      <c r="HP26" s="308"/>
      <c r="HQ26" s="308"/>
      <c r="HR26" s="308"/>
      <c r="HS26" s="309"/>
      <c r="HT26" s="310"/>
      <c r="HU26" s="57"/>
      <c r="HV26" s="57"/>
      <c r="HW26" s="58">
        <f t="shared" si="17"/>
        <v>0</v>
      </c>
      <c r="HX26" s="319"/>
      <c r="HY26" s="308"/>
      <c r="HZ26" s="308"/>
      <c r="IA26" s="308"/>
      <c r="IB26" s="308"/>
      <c r="IC26" s="309"/>
      <c r="ID26" s="310"/>
      <c r="IE26" s="57"/>
      <c r="IF26" s="57"/>
      <c r="IG26" s="88">
        <f t="shared" si="18"/>
        <v>0</v>
      </c>
      <c r="IH26" s="338"/>
      <c r="II26" s="339"/>
      <c r="IJ26" s="339"/>
      <c r="IK26" s="339"/>
      <c r="IL26" s="339"/>
      <c r="IM26" s="341"/>
      <c r="IN26" s="310"/>
      <c r="IO26" s="57"/>
      <c r="IP26" s="57"/>
      <c r="IQ26" s="58">
        <f t="shared" si="19"/>
        <v>0</v>
      </c>
      <c r="IR26" s="106"/>
      <c r="IS26" s="107"/>
      <c r="IT26" s="107"/>
      <c r="IU26" s="179"/>
      <c r="IV26" s="95"/>
      <c r="IW26" s="109">
        <f t="shared" si="87"/>
        <v>1519</v>
      </c>
      <c r="IX26" s="110">
        <f t="shared" si="87"/>
        <v>1196</v>
      </c>
      <c r="IY26" s="110">
        <f t="shared" si="87"/>
        <v>950</v>
      </c>
      <c r="IZ26" s="347">
        <f t="shared" si="20"/>
        <v>1.2589473684210526</v>
      </c>
      <c r="JB26" s="182" t="s">
        <v>67</v>
      </c>
      <c r="JC26" s="318"/>
      <c r="JD26" s="308"/>
      <c r="JE26" s="308"/>
      <c r="JF26" s="308"/>
      <c r="JG26" s="308">
        <v>43</v>
      </c>
      <c r="JH26" s="309"/>
      <c r="JI26" s="310"/>
      <c r="JJ26" s="57">
        <v>4</v>
      </c>
      <c r="JK26" s="57"/>
      <c r="JL26" s="58">
        <f t="shared" si="112"/>
        <v>43</v>
      </c>
      <c r="JM26" s="319"/>
      <c r="JN26" s="308"/>
      <c r="JO26" s="339"/>
      <c r="JP26" s="339"/>
      <c r="JQ26" s="498">
        <v>27</v>
      </c>
      <c r="JR26" s="340"/>
      <c r="JS26" s="310"/>
      <c r="JT26" s="57">
        <v>33</v>
      </c>
      <c r="JU26" s="57"/>
      <c r="JV26" s="58">
        <f t="shared" si="125"/>
        <v>27</v>
      </c>
      <c r="JW26" s="319"/>
      <c r="JX26" s="308"/>
      <c r="JY26" s="308"/>
      <c r="JZ26" s="308"/>
      <c r="KA26" s="308">
        <v>15</v>
      </c>
      <c r="KB26" s="309"/>
      <c r="KC26" s="310"/>
      <c r="KD26" s="57">
        <v>19</v>
      </c>
      <c r="KE26" s="57"/>
      <c r="KF26" s="58">
        <f t="shared" si="23"/>
        <v>15</v>
      </c>
      <c r="KG26" s="319"/>
      <c r="KH26" s="308"/>
      <c r="KI26" s="308"/>
      <c r="KJ26" s="308"/>
      <c r="KK26" s="308">
        <v>34</v>
      </c>
      <c r="KL26" s="309"/>
      <c r="KM26" s="310"/>
      <c r="KN26" s="57"/>
      <c r="KO26" s="57"/>
      <c r="KP26" s="88">
        <f t="shared" si="24"/>
        <v>34</v>
      </c>
      <c r="KQ26" s="319"/>
      <c r="KR26" s="308"/>
      <c r="KS26" s="308"/>
      <c r="KT26" s="308"/>
      <c r="KU26" s="308">
        <v>43</v>
      </c>
      <c r="KV26" s="377"/>
      <c r="KW26" s="56"/>
      <c r="KX26" s="57">
        <v>257</v>
      </c>
      <c r="KY26" s="57"/>
      <c r="KZ26" s="58">
        <f t="shared" si="25"/>
        <v>43</v>
      </c>
      <c r="LA26" s="81">
        <f t="shared" si="107"/>
        <v>257</v>
      </c>
      <c r="LB26" s="82">
        <f t="shared" si="26"/>
        <v>162</v>
      </c>
      <c r="LC26" s="348">
        <v>250</v>
      </c>
      <c r="LD26" s="82">
        <f t="shared" si="88"/>
        <v>-88</v>
      </c>
      <c r="LE26" s="192">
        <f t="shared" si="89"/>
        <v>0.64800000000000002</v>
      </c>
      <c r="LF26" s="115"/>
      <c r="LG26" s="322" t="s">
        <v>67</v>
      </c>
      <c r="LH26" s="318"/>
      <c r="LI26" s="308"/>
      <c r="LJ26" s="308"/>
      <c r="LK26" s="308"/>
      <c r="LL26" s="308">
        <v>58</v>
      </c>
      <c r="LM26" s="309"/>
      <c r="LN26" s="310"/>
      <c r="LO26" s="57"/>
      <c r="LP26" s="57"/>
      <c r="LQ26" s="58">
        <f t="shared" si="113"/>
        <v>58</v>
      </c>
      <c r="LR26" s="319"/>
      <c r="LS26" s="308"/>
      <c r="LT26" s="339"/>
      <c r="LU26" s="339"/>
      <c r="LV26" s="498">
        <v>33</v>
      </c>
      <c r="LW26" s="340"/>
      <c r="LX26" s="310"/>
      <c r="LY26" s="57"/>
      <c r="LZ26" s="57"/>
      <c r="MA26" s="58">
        <f t="shared" si="126"/>
        <v>33</v>
      </c>
      <c r="MB26" s="319"/>
      <c r="MC26" s="308"/>
      <c r="MD26" s="308"/>
      <c r="ME26" s="308"/>
      <c r="MF26" s="308">
        <v>47</v>
      </c>
      <c r="MG26" s="309"/>
      <c r="MH26" s="310"/>
      <c r="MI26" s="57"/>
      <c r="MJ26" s="57"/>
      <c r="MK26" s="58">
        <f t="shared" si="29"/>
        <v>47</v>
      </c>
      <c r="ML26" s="338"/>
      <c r="MM26" s="339"/>
      <c r="MN26" s="339"/>
      <c r="MO26" s="339"/>
      <c r="MP26" s="339">
        <v>24</v>
      </c>
      <c r="MQ26" s="340"/>
      <c r="MR26" s="310"/>
      <c r="MS26" s="57"/>
      <c r="MT26" s="57"/>
      <c r="MU26" s="88">
        <f t="shared" si="30"/>
        <v>24</v>
      </c>
      <c r="MV26" s="319"/>
      <c r="MW26" s="308"/>
      <c r="MX26" s="308"/>
      <c r="MY26" s="308"/>
      <c r="MZ26" s="308">
        <v>19</v>
      </c>
      <c r="NA26" s="377"/>
      <c r="NB26" s="310"/>
      <c r="NC26" s="57">
        <v>265</v>
      </c>
      <c r="ND26" s="57"/>
      <c r="NE26" s="58">
        <f t="shared" si="31"/>
        <v>19</v>
      </c>
      <c r="NF26" s="117">
        <f t="shared" si="90"/>
        <v>265</v>
      </c>
      <c r="NG26" s="93">
        <f t="shared" si="32"/>
        <v>181</v>
      </c>
      <c r="NH26" s="349">
        <v>250</v>
      </c>
      <c r="NI26" s="93">
        <f t="shared" si="91"/>
        <v>-69</v>
      </c>
      <c r="NJ26" s="196">
        <f t="shared" si="108"/>
        <v>0.72399999999999998</v>
      </c>
      <c r="NK26" s="119"/>
      <c r="NL26" s="322" t="s">
        <v>67</v>
      </c>
      <c r="NM26" s="318"/>
      <c r="NN26" s="308"/>
      <c r="NO26" s="308"/>
      <c r="NP26" s="308"/>
      <c r="NQ26" s="308"/>
      <c r="NR26" s="309"/>
      <c r="NS26" s="310"/>
      <c r="NT26" s="57"/>
      <c r="NU26" s="57"/>
      <c r="NV26" s="58">
        <f t="shared" si="114"/>
        <v>0</v>
      </c>
      <c r="NW26" s="319"/>
      <c r="NX26" s="308"/>
      <c r="NY26" s="339"/>
      <c r="NZ26" s="339"/>
      <c r="OA26" s="498">
        <v>43</v>
      </c>
      <c r="OB26" s="340"/>
      <c r="OC26" s="310"/>
      <c r="OD26" s="57"/>
      <c r="OE26" s="57"/>
      <c r="OF26" s="58">
        <f t="shared" si="127"/>
        <v>43</v>
      </c>
      <c r="OG26" s="319"/>
      <c r="OH26" s="308"/>
      <c r="OI26" s="308"/>
      <c r="OJ26" s="308"/>
      <c r="OK26" s="308">
        <v>56</v>
      </c>
      <c r="OL26" s="309"/>
      <c r="OM26" s="310"/>
      <c r="ON26" s="57"/>
      <c r="OO26" s="57"/>
      <c r="OP26" s="58">
        <f t="shared" si="35"/>
        <v>56</v>
      </c>
      <c r="OQ26" s="319"/>
      <c r="OR26" s="308"/>
      <c r="OS26" s="308"/>
      <c r="OT26" s="308"/>
      <c r="OU26" s="308">
        <v>48</v>
      </c>
      <c r="OV26" s="309"/>
      <c r="OW26" s="310"/>
      <c r="OX26" s="57"/>
      <c r="OY26" s="57"/>
      <c r="OZ26" s="88">
        <f t="shared" si="36"/>
        <v>48</v>
      </c>
      <c r="PA26" s="319"/>
      <c r="PB26" s="308"/>
      <c r="PC26" s="308"/>
      <c r="PD26" s="308"/>
      <c r="PE26" s="308">
        <v>78</v>
      </c>
      <c r="PF26" s="377"/>
      <c r="PG26" s="310"/>
      <c r="PH26" s="57"/>
      <c r="PI26" s="57"/>
      <c r="PJ26" s="58">
        <f t="shared" si="37"/>
        <v>78</v>
      </c>
      <c r="PK26" s="99">
        <f t="shared" si="38"/>
        <v>0</v>
      </c>
      <c r="PL26" s="100">
        <f t="shared" si="39"/>
        <v>225</v>
      </c>
      <c r="PM26" s="346">
        <v>250</v>
      </c>
      <c r="PN26" s="100">
        <f t="shared" si="92"/>
        <v>-25</v>
      </c>
      <c r="PO26" s="198">
        <f t="shared" si="109"/>
        <v>0.9</v>
      </c>
      <c r="PP26" s="119"/>
      <c r="PQ26" s="322" t="s">
        <v>67</v>
      </c>
      <c r="PR26" s="318"/>
      <c r="PS26" s="308"/>
      <c r="PT26" s="308"/>
      <c r="PU26" s="308"/>
      <c r="PV26" s="308">
        <v>62</v>
      </c>
      <c r="PW26" s="309"/>
      <c r="PX26" s="310"/>
      <c r="PY26" s="57"/>
      <c r="PZ26" s="57"/>
      <c r="QA26" s="58">
        <f t="shared" si="115"/>
        <v>62</v>
      </c>
      <c r="QB26" s="319"/>
      <c r="QC26" s="308"/>
      <c r="QD26" s="339"/>
      <c r="QE26" s="339"/>
      <c r="QF26" s="498">
        <v>27</v>
      </c>
      <c r="QG26" s="340"/>
      <c r="QH26" s="310"/>
      <c r="QI26" s="57"/>
      <c r="QJ26" s="57"/>
      <c r="QK26" s="58">
        <f t="shared" si="128"/>
        <v>27</v>
      </c>
      <c r="QL26" s="319"/>
      <c r="QM26" s="308"/>
      <c r="QN26" s="308"/>
      <c r="QO26" s="308"/>
      <c r="QP26" s="308">
        <v>32</v>
      </c>
      <c r="QQ26" s="309"/>
      <c r="QR26" s="310"/>
      <c r="QS26" s="57"/>
      <c r="QT26" s="57"/>
      <c r="QU26" s="58">
        <f t="shared" si="42"/>
        <v>32</v>
      </c>
      <c r="QV26" s="319"/>
      <c r="QW26" s="308"/>
      <c r="QX26" s="308"/>
      <c r="QY26" s="308"/>
      <c r="QZ26" s="308">
        <v>69</v>
      </c>
      <c r="RA26" s="309"/>
      <c r="RB26" s="310"/>
      <c r="RC26" s="57"/>
      <c r="RD26" s="57"/>
      <c r="RE26" s="88">
        <f t="shared" si="43"/>
        <v>69</v>
      </c>
      <c r="RF26" s="319"/>
      <c r="RG26" s="308"/>
      <c r="RH26" s="308"/>
      <c r="RI26" s="308"/>
      <c r="RJ26" s="308">
        <v>63</v>
      </c>
      <c r="RK26" s="377"/>
      <c r="RL26" s="310"/>
      <c r="RM26" s="57">
        <v>335</v>
      </c>
      <c r="RN26" s="57"/>
      <c r="RO26" s="58">
        <f t="shared" si="44"/>
        <v>63</v>
      </c>
      <c r="RP26" s="121">
        <f t="shared" si="93"/>
        <v>335</v>
      </c>
      <c r="RQ26" s="104">
        <f t="shared" si="45"/>
        <v>253</v>
      </c>
      <c r="RR26" s="350">
        <v>250</v>
      </c>
      <c r="RS26" s="104">
        <f t="shared" si="94"/>
        <v>3</v>
      </c>
      <c r="RT26" s="205">
        <f t="shared" si="110"/>
        <v>1.012</v>
      </c>
      <c r="RV26" s="123">
        <f t="shared" si="136"/>
        <v>857</v>
      </c>
      <c r="RW26" s="124">
        <f t="shared" si="136"/>
        <v>821</v>
      </c>
      <c r="RX26" s="124">
        <f t="shared" si="136"/>
        <v>1000</v>
      </c>
      <c r="RY26" s="125">
        <f t="shared" si="96"/>
        <v>0.82099999999999995</v>
      </c>
      <c r="SA26" s="165" t="s">
        <v>67</v>
      </c>
      <c r="SB26" s="324"/>
      <c r="SC26" s="200"/>
      <c r="SD26" s="200"/>
      <c r="SE26" s="200"/>
      <c r="SF26" s="200">
        <v>36</v>
      </c>
      <c r="SG26" s="325"/>
      <c r="SH26" s="326"/>
      <c r="SI26" s="134"/>
      <c r="SJ26" s="134"/>
      <c r="SK26" s="131">
        <f t="shared" si="116"/>
        <v>36</v>
      </c>
      <c r="SL26" s="327"/>
      <c r="SM26" s="200"/>
      <c r="SN26" s="200"/>
      <c r="SO26" s="200"/>
      <c r="SP26" s="499">
        <v>36</v>
      </c>
      <c r="SQ26" s="325"/>
      <c r="SR26" s="326"/>
      <c r="SS26" s="134"/>
      <c r="ST26" s="134"/>
      <c r="SU26" s="131">
        <f t="shared" si="129"/>
        <v>36</v>
      </c>
      <c r="SV26" s="327"/>
      <c r="SW26" s="200"/>
      <c r="SX26" s="200"/>
      <c r="SY26" s="200"/>
      <c r="SZ26" s="200">
        <v>42</v>
      </c>
      <c r="TA26" s="325"/>
      <c r="TB26" s="326"/>
      <c r="TC26" s="134"/>
      <c r="TD26" s="134"/>
      <c r="TE26" s="131">
        <f t="shared" si="117"/>
        <v>42</v>
      </c>
      <c r="TF26" s="327"/>
      <c r="TG26" s="200"/>
      <c r="TH26" s="200"/>
      <c r="TI26" s="200"/>
      <c r="TJ26" s="200"/>
      <c r="TK26" s="325"/>
      <c r="TL26" s="326"/>
      <c r="TM26" s="134"/>
      <c r="TN26" s="134"/>
      <c r="TO26" s="131">
        <f t="shared" si="49"/>
        <v>0</v>
      </c>
      <c r="TP26" s="327"/>
      <c r="TQ26" s="200"/>
      <c r="TR26" s="200"/>
      <c r="TS26" s="200"/>
      <c r="TT26" s="200">
        <v>47</v>
      </c>
      <c r="TU26" s="325"/>
      <c r="TV26" s="326"/>
      <c r="TW26" s="134"/>
      <c r="TX26" s="134"/>
      <c r="TY26" s="136">
        <f t="shared" si="50"/>
        <v>47</v>
      </c>
      <c r="TZ26" s="209">
        <f t="shared" si="137"/>
        <v>0</v>
      </c>
      <c r="UA26" s="210">
        <f t="shared" si="137"/>
        <v>161</v>
      </c>
      <c r="UB26" s="210">
        <v>250</v>
      </c>
      <c r="UC26" s="211">
        <f t="shared" si="51"/>
        <v>0.64400000000000002</v>
      </c>
      <c r="UD26" s="140"/>
      <c r="UE26" s="220" t="s">
        <v>67</v>
      </c>
      <c r="UF26" s="324"/>
      <c r="UG26" s="200"/>
      <c r="UH26" s="200"/>
      <c r="UI26" s="200"/>
      <c r="UJ26" s="200">
        <v>46</v>
      </c>
      <c r="UK26" s="325"/>
      <c r="UL26" s="326"/>
      <c r="UM26" s="134"/>
      <c r="UN26" s="134"/>
      <c r="UO26" s="131">
        <f t="shared" si="118"/>
        <v>46</v>
      </c>
      <c r="UP26" s="327"/>
      <c r="UQ26" s="200"/>
      <c r="UR26" s="200"/>
      <c r="US26" s="200"/>
      <c r="UT26" s="499">
        <v>34</v>
      </c>
      <c r="UU26" s="325"/>
      <c r="UV26" s="326"/>
      <c r="UW26" s="134"/>
      <c r="UX26" s="134"/>
      <c r="UY26" s="131">
        <f t="shared" si="130"/>
        <v>34</v>
      </c>
      <c r="UZ26" s="327"/>
      <c r="VA26" s="200"/>
      <c r="VB26" s="200"/>
      <c r="VC26" s="200"/>
      <c r="VD26" s="200">
        <v>30</v>
      </c>
      <c r="VE26" s="325"/>
      <c r="VF26" s="326"/>
      <c r="VG26" s="134"/>
      <c r="VH26" s="134"/>
      <c r="VI26" s="131">
        <f t="shared" si="119"/>
        <v>30</v>
      </c>
      <c r="VJ26" s="327"/>
      <c r="VK26" s="200"/>
      <c r="VL26" s="200"/>
      <c r="VM26" s="200">
        <v>22</v>
      </c>
      <c r="VN26" s="200"/>
      <c r="VO26" s="325"/>
      <c r="VP26" s="326"/>
      <c r="VQ26" s="134"/>
      <c r="VR26" s="134"/>
      <c r="VS26" s="131">
        <f t="shared" si="55"/>
        <v>22</v>
      </c>
      <c r="VT26" s="327"/>
      <c r="VU26" s="200"/>
      <c r="VV26" s="200"/>
      <c r="VW26" s="200"/>
      <c r="VX26" s="200">
        <v>35</v>
      </c>
      <c r="VY26" s="325"/>
      <c r="VZ26" s="326"/>
      <c r="WA26" s="134"/>
      <c r="WB26" s="134"/>
      <c r="WC26" s="131">
        <f t="shared" si="56"/>
        <v>35</v>
      </c>
      <c r="WD26" s="216">
        <f t="shared" si="138"/>
        <v>0</v>
      </c>
      <c r="WE26" s="217">
        <f t="shared" si="138"/>
        <v>167</v>
      </c>
      <c r="WF26" s="217">
        <v>250</v>
      </c>
      <c r="WG26" s="218">
        <f t="shared" si="57"/>
        <v>0.66800000000000004</v>
      </c>
      <c r="WH26" s="146"/>
      <c r="WI26" s="220" t="s">
        <v>67</v>
      </c>
      <c r="WJ26" s="324"/>
      <c r="WK26" s="200"/>
      <c r="WL26" s="200"/>
      <c r="WM26" s="200">
        <v>26</v>
      </c>
      <c r="WN26" s="200">
        <v>30</v>
      </c>
      <c r="WO26" s="325"/>
      <c r="WP26" s="326"/>
      <c r="WQ26" s="134"/>
      <c r="WR26" s="134"/>
      <c r="WS26" s="131">
        <f t="shared" si="58"/>
        <v>56</v>
      </c>
      <c r="WT26" s="327"/>
      <c r="WU26" s="200"/>
      <c r="WV26" s="200"/>
      <c r="WW26" s="200"/>
      <c r="WX26" s="499">
        <v>35</v>
      </c>
      <c r="WY26" s="325"/>
      <c r="WZ26" s="326"/>
      <c r="XA26" s="134"/>
      <c r="XB26" s="134"/>
      <c r="XC26" s="131">
        <f t="shared" si="131"/>
        <v>35</v>
      </c>
      <c r="XD26" s="327"/>
      <c r="XE26" s="200"/>
      <c r="XF26" s="200"/>
      <c r="XG26" s="200"/>
      <c r="XH26" s="200">
        <v>32</v>
      </c>
      <c r="XI26" s="325"/>
      <c r="XJ26" s="326"/>
      <c r="XK26" s="134"/>
      <c r="XL26" s="134"/>
      <c r="XM26" s="131">
        <f t="shared" si="120"/>
        <v>32</v>
      </c>
      <c r="XN26" s="327"/>
      <c r="XO26" s="200"/>
      <c r="XP26" s="200"/>
      <c r="XQ26" s="200">
        <v>29</v>
      </c>
      <c r="XR26" s="200">
        <v>38</v>
      </c>
      <c r="XS26" s="325"/>
      <c r="XT26" s="326"/>
      <c r="XU26" s="134"/>
      <c r="XV26" s="134"/>
      <c r="XW26" s="131">
        <f t="shared" si="61"/>
        <v>67</v>
      </c>
      <c r="XX26" s="327"/>
      <c r="XY26" s="200"/>
      <c r="XZ26" s="200"/>
      <c r="YA26" s="200">
        <v>50</v>
      </c>
      <c r="YB26" s="200">
        <v>44</v>
      </c>
      <c r="YC26" s="325"/>
      <c r="YD26" s="326"/>
      <c r="YE26" s="134"/>
      <c r="YF26" s="134"/>
      <c r="YG26" s="131">
        <f t="shared" si="62"/>
        <v>94</v>
      </c>
      <c r="YH26" s="221">
        <f t="shared" si="139"/>
        <v>0</v>
      </c>
      <c r="YI26" s="148">
        <f t="shared" si="139"/>
        <v>284</v>
      </c>
      <c r="YJ26" s="222">
        <v>250</v>
      </c>
      <c r="YK26" s="223">
        <f>+YI26/YJ26</f>
        <v>1.1359999999999999</v>
      </c>
      <c r="YL26" s="150"/>
      <c r="YM26" s="328"/>
      <c r="YN26" s="200"/>
      <c r="YO26" s="200"/>
      <c r="YP26" s="200">
        <v>19</v>
      </c>
      <c r="YQ26" s="200">
        <v>37</v>
      </c>
      <c r="YR26" s="325"/>
      <c r="YS26" s="326"/>
      <c r="YT26" s="134"/>
      <c r="YU26" s="134"/>
      <c r="YV26" s="131">
        <f t="shared" si="121"/>
        <v>56</v>
      </c>
      <c r="YW26" s="327"/>
      <c r="YX26" s="200"/>
      <c r="YY26" s="200"/>
      <c r="YZ26" s="200">
        <v>34</v>
      </c>
      <c r="ZA26" s="499">
        <v>10</v>
      </c>
      <c r="ZB26" s="325"/>
      <c r="ZC26" s="326"/>
      <c r="ZD26" s="134"/>
      <c r="ZE26" s="134"/>
      <c r="ZF26" s="131">
        <f t="shared" si="132"/>
        <v>44</v>
      </c>
      <c r="ZG26" s="327"/>
      <c r="ZH26" s="200"/>
      <c r="ZI26" s="200"/>
      <c r="ZJ26" s="200"/>
      <c r="ZK26" s="200">
        <v>29</v>
      </c>
      <c r="ZL26" s="325"/>
      <c r="ZM26" s="326"/>
      <c r="ZN26" s="134"/>
      <c r="ZO26" s="134"/>
      <c r="ZP26" s="131">
        <f t="shared" si="122"/>
        <v>29</v>
      </c>
      <c r="ZQ26" s="327"/>
      <c r="ZR26" s="200"/>
      <c r="ZS26" s="200"/>
      <c r="ZT26" s="200"/>
      <c r="ZU26" s="200">
        <v>29</v>
      </c>
      <c r="ZV26" s="325"/>
      <c r="ZW26" s="326"/>
      <c r="ZX26" s="134"/>
      <c r="ZY26" s="134"/>
      <c r="ZZ26" s="131">
        <f t="shared" si="67"/>
        <v>29</v>
      </c>
      <c r="AAA26" s="327"/>
      <c r="AAB26" s="200"/>
      <c r="AAC26" s="200"/>
      <c r="AAD26" s="200">
        <v>23</v>
      </c>
      <c r="AAE26" s="200">
        <v>17</v>
      </c>
      <c r="AAF26" s="325"/>
      <c r="AAG26" s="326"/>
      <c r="AAH26" s="134"/>
      <c r="AAI26" s="134"/>
      <c r="AAJ26" s="131">
        <f t="shared" si="68"/>
        <v>40</v>
      </c>
      <c r="AAK26" s="226">
        <f t="shared" si="69"/>
        <v>198</v>
      </c>
      <c r="AAL26" s="226">
        <v>250</v>
      </c>
      <c r="AAM26" s="227">
        <f t="shared" si="70"/>
        <v>0.79200000000000004</v>
      </c>
      <c r="AAN26" s="329" t="s">
        <v>67</v>
      </c>
      <c r="AAO26" s="324"/>
      <c r="AAP26" s="200"/>
      <c r="AAQ26" s="200"/>
      <c r="AAR26" s="200"/>
      <c r="AAS26" s="200"/>
      <c r="AAT26" s="325"/>
      <c r="AAU26" s="326"/>
      <c r="AAV26" s="134"/>
      <c r="AAW26" s="134"/>
      <c r="AAX26" s="155"/>
      <c r="AAY26" s="131">
        <f t="shared" si="123"/>
        <v>0</v>
      </c>
      <c r="AAZ26" s="327"/>
      <c r="ABA26" s="200"/>
      <c r="ABB26" s="200"/>
      <c r="ABC26" s="200">
        <v>39</v>
      </c>
      <c r="ABD26" s="499">
        <v>18</v>
      </c>
      <c r="ABE26" s="325"/>
      <c r="ABF26" s="326"/>
      <c r="ABG26" s="134"/>
      <c r="ABH26" s="134"/>
      <c r="ABI26" s="131">
        <f t="shared" si="71"/>
        <v>57</v>
      </c>
      <c r="ABJ26" s="327"/>
      <c r="ABK26" s="200"/>
      <c r="ABL26" s="200"/>
      <c r="ABM26" s="200">
        <v>10</v>
      </c>
      <c r="ABN26" s="200">
        <v>13</v>
      </c>
      <c r="ABO26" s="325"/>
      <c r="ABP26" s="326"/>
      <c r="ABQ26" s="134"/>
      <c r="ABR26" s="134"/>
      <c r="ABS26" s="131">
        <f t="shared" si="124"/>
        <v>23</v>
      </c>
      <c r="ABT26" s="327"/>
      <c r="ABU26" s="200"/>
      <c r="ABV26" s="200"/>
      <c r="ABW26" s="200">
        <v>107</v>
      </c>
      <c r="ABX26" s="200">
        <v>17</v>
      </c>
      <c r="ABY26" s="325"/>
      <c r="ABZ26" s="326"/>
      <c r="ACA26" s="134"/>
      <c r="ACB26" s="134"/>
      <c r="ACC26" s="131">
        <f t="shared" si="73"/>
        <v>124</v>
      </c>
      <c r="ACD26" s="327"/>
      <c r="ACE26" s="200"/>
      <c r="ACF26" s="200"/>
      <c r="ACG26" s="200"/>
      <c r="ACH26" s="200">
        <v>20</v>
      </c>
      <c r="ACI26" s="325"/>
      <c r="ACJ26" s="326"/>
      <c r="ACK26" s="134">
        <v>5</v>
      </c>
      <c r="ACL26" s="134"/>
      <c r="ACM26" s="131">
        <f t="shared" si="74"/>
        <v>20</v>
      </c>
      <c r="ACN26" s="156">
        <f t="shared" si="75"/>
        <v>0</v>
      </c>
      <c r="ACO26" s="157"/>
      <c r="ACP26" s="229">
        <f t="shared" si="100"/>
        <v>224</v>
      </c>
      <c r="ACQ26" s="229">
        <v>200</v>
      </c>
      <c r="ACR26" s="230">
        <f t="shared" si="101"/>
        <v>1.1200000000000001</v>
      </c>
      <c r="ACS26" s="231">
        <f t="shared" si="76"/>
        <v>1034</v>
      </c>
      <c r="ACT26" s="207">
        <f t="shared" si="76"/>
        <v>1200</v>
      </c>
      <c r="ACU26" s="208">
        <f t="shared" si="102"/>
        <v>0.86166666666666669</v>
      </c>
      <c r="ACW26" s="163">
        <f t="shared" si="103"/>
        <v>0.98053801169590649</v>
      </c>
      <c r="ACX26" s="5">
        <v>2</v>
      </c>
    </row>
    <row r="27" spans="1:778" s="102" customFormat="1" x14ac:dyDescent="0.35">
      <c r="A27" s="51" t="s">
        <v>46</v>
      </c>
      <c r="B27" s="165" t="s">
        <v>91</v>
      </c>
      <c r="C27" s="307"/>
      <c r="D27" s="308"/>
      <c r="E27" s="308"/>
      <c r="F27" s="308"/>
      <c r="G27" s="308">
        <v>53</v>
      </c>
      <c r="H27" s="309"/>
      <c r="I27" s="310"/>
      <c r="J27" s="57"/>
      <c r="K27" s="58">
        <f t="shared" si="0"/>
        <v>53</v>
      </c>
      <c r="L27" s="319">
        <v>40</v>
      </c>
      <c r="M27" s="308"/>
      <c r="N27" s="339"/>
      <c r="O27" s="339"/>
      <c r="P27" s="339"/>
      <c r="Q27" s="340"/>
      <c r="R27" s="375"/>
      <c r="S27" s="376"/>
      <c r="T27" s="58">
        <f t="shared" si="1"/>
        <v>40</v>
      </c>
      <c r="U27" s="314"/>
      <c r="V27" s="315"/>
      <c r="W27" s="315"/>
      <c r="X27" s="315"/>
      <c r="Y27" s="315"/>
      <c r="Z27" s="316"/>
      <c r="AA27" s="317"/>
      <c r="AB27" s="66"/>
      <c r="AC27" s="67">
        <f t="shared" si="2"/>
        <v>0</v>
      </c>
      <c r="AD27" s="319">
        <v>46</v>
      </c>
      <c r="AE27" s="308"/>
      <c r="AF27" s="308"/>
      <c r="AG27" s="308"/>
      <c r="AH27" s="308"/>
      <c r="AI27" s="309"/>
      <c r="AJ27" s="310"/>
      <c r="AK27" s="57"/>
      <c r="AL27" s="88">
        <f t="shared" si="3"/>
        <v>46</v>
      </c>
      <c r="AM27" s="336"/>
      <c r="AN27" s="333"/>
      <c r="AO27" s="333"/>
      <c r="AP27" s="333"/>
      <c r="AQ27" s="333"/>
      <c r="AR27" s="337"/>
      <c r="AS27" s="335"/>
      <c r="AT27" s="72"/>
      <c r="AU27" s="80">
        <f t="shared" si="4"/>
        <v>0</v>
      </c>
      <c r="AV27" s="81">
        <v>151</v>
      </c>
      <c r="AW27" s="82">
        <f t="shared" si="77"/>
        <v>139</v>
      </c>
      <c r="AX27" s="82">
        <v>200</v>
      </c>
      <c r="AY27" s="172">
        <f t="shared" si="5"/>
        <v>0.69499999999999995</v>
      </c>
      <c r="AZ27" s="84"/>
      <c r="BA27" s="332"/>
      <c r="BB27" s="333"/>
      <c r="BC27" s="333"/>
      <c r="BD27" s="333"/>
      <c r="BE27" s="333"/>
      <c r="BF27" s="334"/>
      <c r="BG27" s="335"/>
      <c r="BH27" s="72"/>
      <c r="BI27" s="86">
        <f t="shared" si="6"/>
        <v>0</v>
      </c>
      <c r="BJ27" s="500"/>
      <c r="BK27" s="333"/>
      <c r="BL27" s="333"/>
      <c r="BM27" s="333"/>
      <c r="BN27" s="333"/>
      <c r="BO27" s="334"/>
      <c r="BP27" s="335"/>
      <c r="BQ27" s="72"/>
      <c r="BR27" s="58">
        <f t="shared" si="7"/>
        <v>0</v>
      </c>
      <c r="BS27" s="319">
        <v>34</v>
      </c>
      <c r="BT27" s="308"/>
      <c r="BU27" s="308"/>
      <c r="BV27" s="308"/>
      <c r="BW27" s="308"/>
      <c r="BX27" s="309"/>
      <c r="BY27" s="310"/>
      <c r="BZ27" s="57"/>
      <c r="CA27" s="58">
        <f t="shared" si="105"/>
        <v>34</v>
      </c>
      <c r="CB27" s="319">
        <v>29</v>
      </c>
      <c r="CC27" s="308"/>
      <c r="CD27" s="308"/>
      <c r="CE27" s="308"/>
      <c r="CF27" s="308"/>
      <c r="CG27" s="309"/>
      <c r="CH27" s="310"/>
      <c r="CI27" s="57"/>
      <c r="CJ27" s="88">
        <f t="shared" si="106"/>
        <v>29</v>
      </c>
      <c r="CK27" s="319">
        <f>41+9</f>
        <v>50</v>
      </c>
      <c r="CL27" s="308"/>
      <c r="CM27" s="308"/>
      <c r="CN27" s="308"/>
      <c r="CO27" s="501"/>
      <c r="CP27" s="377"/>
      <c r="CQ27" s="310"/>
      <c r="CR27" s="57"/>
      <c r="CS27" s="91">
        <f t="shared" si="78"/>
        <v>50</v>
      </c>
      <c r="CT27" s="92">
        <v>137</v>
      </c>
      <c r="CU27" s="93">
        <f t="shared" si="79"/>
        <v>113</v>
      </c>
      <c r="CV27" s="93">
        <v>150</v>
      </c>
      <c r="CW27" s="175">
        <f t="shared" si="8"/>
        <v>0.7533333333333333</v>
      </c>
      <c r="CX27" s="95"/>
      <c r="CY27" s="307">
        <v>41</v>
      </c>
      <c r="CZ27" s="308"/>
      <c r="DA27" s="308"/>
      <c r="DB27" s="308"/>
      <c r="DC27" s="308"/>
      <c r="DD27" s="309"/>
      <c r="DE27" s="310"/>
      <c r="DF27" s="57"/>
      <c r="DG27" s="58">
        <f t="shared" si="9"/>
        <v>41</v>
      </c>
      <c r="DH27" s="319">
        <v>36</v>
      </c>
      <c r="DI27" s="308"/>
      <c r="DJ27" s="339"/>
      <c r="DK27" s="339"/>
      <c r="DL27" s="339"/>
      <c r="DM27" s="340"/>
      <c r="DN27" s="310"/>
      <c r="DO27" s="57"/>
      <c r="DP27" s="58">
        <f t="shared" si="10"/>
        <v>36</v>
      </c>
      <c r="DQ27" s="319">
        <v>50</v>
      </c>
      <c r="DR27" s="308"/>
      <c r="DS27" s="308"/>
      <c r="DT27" s="308"/>
      <c r="DU27" s="308"/>
      <c r="DV27" s="309"/>
      <c r="DW27" s="310"/>
      <c r="DX27" s="57"/>
      <c r="DY27" s="58">
        <f t="shared" si="80"/>
        <v>50</v>
      </c>
      <c r="DZ27" s="319">
        <v>27</v>
      </c>
      <c r="EA27" s="308"/>
      <c r="EB27" s="308"/>
      <c r="EC27" s="308"/>
      <c r="ED27" s="308"/>
      <c r="EE27" s="309"/>
      <c r="EF27" s="310"/>
      <c r="EG27" s="57"/>
      <c r="EH27" s="96">
        <f t="shared" si="81"/>
        <v>27</v>
      </c>
      <c r="EI27" s="379">
        <v>60</v>
      </c>
      <c r="EJ27" s="308"/>
      <c r="EK27" s="308"/>
      <c r="EL27" s="308"/>
      <c r="EM27" s="501"/>
      <c r="EN27" s="377"/>
      <c r="EO27" s="310"/>
      <c r="EP27" s="57"/>
      <c r="EQ27" s="98">
        <f t="shared" si="82"/>
        <v>60</v>
      </c>
      <c r="ER27" s="99">
        <v>267</v>
      </c>
      <c r="ES27" s="100">
        <f t="shared" si="111"/>
        <v>214</v>
      </c>
      <c r="ET27" s="346">
        <v>250</v>
      </c>
      <c r="EU27" s="177">
        <f t="shared" si="11"/>
        <v>0.85599999999999998</v>
      </c>
      <c r="EW27" s="307">
        <v>48</v>
      </c>
      <c r="EX27" s="308"/>
      <c r="EY27" s="308"/>
      <c r="EZ27" s="308"/>
      <c r="FA27" s="308"/>
      <c r="FB27" s="309"/>
      <c r="FC27" s="310"/>
      <c r="FD27" s="57"/>
      <c r="FE27" s="58">
        <f t="shared" si="12"/>
        <v>48</v>
      </c>
      <c r="FF27" s="319">
        <v>45</v>
      </c>
      <c r="FG27" s="308"/>
      <c r="FH27" s="339"/>
      <c r="FI27" s="339"/>
      <c r="FJ27" s="339"/>
      <c r="FK27" s="340"/>
      <c r="FL27" s="310"/>
      <c r="FM27" s="57"/>
      <c r="FN27" s="58">
        <f t="shared" si="13"/>
        <v>45</v>
      </c>
      <c r="FO27" s="319">
        <v>42</v>
      </c>
      <c r="FP27" s="308"/>
      <c r="FQ27" s="308"/>
      <c r="FR27" s="308"/>
      <c r="FS27" s="308"/>
      <c r="FT27" s="309"/>
      <c r="FU27" s="310"/>
      <c r="FV27" s="57"/>
      <c r="FW27" s="58">
        <f t="shared" si="83"/>
        <v>42</v>
      </c>
      <c r="FX27" s="319">
        <v>30</v>
      </c>
      <c r="FY27" s="308"/>
      <c r="FZ27" s="308"/>
      <c r="GA27" s="308"/>
      <c r="GB27" s="308"/>
      <c r="GC27" s="309"/>
      <c r="GD27" s="310"/>
      <c r="GE27" s="57"/>
      <c r="GF27" s="58">
        <f t="shared" si="84"/>
        <v>30</v>
      </c>
      <c r="GG27" s="319"/>
      <c r="GH27" s="308"/>
      <c r="GI27" s="308"/>
      <c r="GJ27" s="308"/>
      <c r="GK27" s="501">
        <v>54</v>
      </c>
      <c r="GL27" s="377"/>
      <c r="GM27" s="310"/>
      <c r="GN27" s="57"/>
      <c r="GO27" s="58">
        <f t="shared" si="85"/>
        <v>54</v>
      </c>
      <c r="GP27" s="103">
        <v>282</v>
      </c>
      <c r="GQ27" s="104">
        <f t="shared" si="135"/>
        <v>219</v>
      </c>
      <c r="GR27" s="104">
        <v>250</v>
      </c>
      <c r="GS27" s="178">
        <f t="shared" si="14"/>
        <v>0.876</v>
      </c>
      <c r="GT27" s="307"/>
      <c r="GU27" s="308"/>
      <c r="GV27" s="308"/>
      <c r="GW27" s="308"/>
      <c r="GX27" s="308"/>
      <c r="GY27" s="309"/>
      <c r="GZ27" s="310"/>
      <c r="HA27" s="57"/>
      <c r="HB27" s="57"/>
      <c r="HC27" s="58">
        <f t="shared" si="15"/>
        <v>0</v>
      </c>
      <c r="HD27" s="319"/>
      <c r="HE27" s="308"/>
      <c r="HF27" s="339"/>
      <c r="HG27" s="339"/>
      <c r="HH27" s="498"/>
      <c r="HI27" s="340"/>
      <c r="HJ27" s="310"/>
      <c r="HK27" s="57"/>
      <c r="HL27" s="57"/>
      <c r="HM27" s="58">
        <f t="shared" si="16"/>
        <v>0</v>
      </c>
      <c r="HN27" s="319"/>
      <c r="HO27" s="308"/>
      <c r="HP27" s="308"/>
      <c r="HQ27" s="308"/>
      <c r="HR27" s="308"/>
      <c r="HS27" s="309"/>
      <c r="HT27" s="310"/>
      <c r="HU27" s="57"/>
      <c r="HV27" s="57"/>
      <c r="HW27" s="58">
        <f t="shared" si="17"/>
        <v>0</v>
      </c>
      <c r="HX27" s="319"/>
      <c r="HY27" s="308"/>
      <c r="HZ27" s="308"/>
      <c r="IA27" s="308"/>
      <c r="IB27" s="308"/>
      <c r="IC27" s="309"/>
      <c r="ID27" s="310"/>
      <c r="IE27" s="57"/>
      <c r="IF27" s="57"/>
      <c r="IG27" s="88">
        <f t="shared" si="18"/>
        <v>0</v>
      </c>
      <c r="IH27" s="319"/>
      <c r="II27" s="308"/>
      <c r="IJ27" s="308"/>
      <c r="IK27" s="308"/>
      <c r="IL27" s="308"/>
      <c r="IM27" s="377"/>
      <c r="IN27" s="310"/>
      <c r="IO27" s="57"/>
      <c r="IP27" s="57"/>
      <c r="IQ27" s="58">
        <f t="shared" si="19"/>
        <v>0</v>
      </c>
      <c r="IR27" s="106"/>
      <c r="IS27" s="107"/>
      <c r="IT27" s="107"/>
      <c r="IU27" s="179"/>
      <c r="IV27" s="95"/>
      <c r="IW27" s="109">
        <f t="shared" si="87"/>
        <v>837</v>
      </c>
      <c r="IX27" s="110">
        <f t="shared" si="87"/>
        <v>685</v>
      </c>
      <c r="IY27" s="110">
        <f t="shared" si="87"/>
        <v>850</v>
      </c>
      <c r="IZ27" s="347">
        <f t="shared" si="20"/>
        <v>0.80588235294117649</v>
      </c>
      <c r="JB27" s="182" t="s">
        <v>68</v>
      </c>
      <c r="JC27" s="318"/>
      <c r="JD27" s="308"/>
      <c r="JE27" s="308"/>
      <c r="JF27" s="308"/>
      <c r="JG27" s="308">
        <v>32</v>
      </c>
      <c r="JH27" s="309"/>
      <c r="JI27" s="310"/>
      <c r="JJ27" s="57">
        <v>4</v>
      </c>
      <c r="JK27" s="57"/>
      <c r="JL27" s="58">
        <f t="shared" si="112"/>
        <v>32</v>
      </c>
      <c r="JM27" s="319"/>
      <c r="JN27" s="308"/>
      <c r="JO27" s="339"/>
      <c r="JP27" s="339"/>
      <c r="JQ27" s="339">
        <v>34</v>
      </c>
      <c r="JR27" s="340"/>
      <c r="JS27" s="310"/>
      <c r="JT27" s="57">
        <v>18</v>
      </c>
      <c r="JU27" s="57"/>
      <c r="JV27" s="58">
        <f t="shared" si="125"/>
        <v>34</v>
      </c>
      <c r="JW27" s="319"/>
      <c r="JX27" s="308"/>
      <c r="JY27" s="308"/>
      <c r="JZ27" s="308"/>
      <c r="KA27" s="308">
        <v>38</v>
      </c>
      <c r="KB27" s="309"/>
      <c r="KC27" s="310"/>
      <c r="KD27" s="57">
        <v>5</v>
      </c>
      <c r="KE27" s="57"/>
      <c r="KF27" s="58">
        <f t="shared" si="23"/>
        <v>38</v>
      </c>
      <c r="KG27" s="319"/>
      <c r="KH27" s="308"/>
      <c r="KI27" s="308"/>
      <c r="KJ27" s="308"/>
      <c r="KK27" s="308">
        <v>30</v>
      </c>
      <c r="KL27" s="309"/>
      <c r="KM27" s="310"/>
      <c r="KN27" s="57">
        <v>2</v>
      </c>
      <c r="KO27" s="57"/>
      <c r="KP27" s="88">
        <f t="shared" si="24"/>
        <v>30</v>
      </c>
      <c r="KQ27" s="319"/>
      <c r="KR27" s="308"/>
      <c r="KS27" s="308"/>
      <c r="KT27" s="308"/>
      <c r="KU27" s="501">
        <v>36</v>
      </c>
      <c r="KV27" s="377"/>
      <c r="KW27" s="56"/>
      <c r="KX27" s="57">
        <v>243</v>
      </c>
      <c r="KY27" s="57"/>
      <c r="KZ27" s="58">
        <f t="shared" si="25"/>
        <v>36</v>
      </c>
      <c r="LA27" s="81">
        <f t="shared" si="107"/>
        <v>243</v>
      </c>
      <c r="LB27" s="82">
        <f t="shared" si="26"/>
        <v>170</v>
      </c>
      <c r="LC27" s="348">
        <v>250</v>
      </c>
      <c r="LD27" s="82">
        <f t="shared" si="88"/>
        <v>-80</v>
      </c>
      <c r="LE27" s="192">
        <f t="shared" si="89"/>
        <v>0.68</v>
      </c>
      <c r="LF27" s="115"/>
      <c r="LG27" s="322" t="s">
        <v>68</v>
      </c>
      <c r="LH27" s="318"/>
      <c r="LI27" s="308"/>
      <c r="LJ27" s="308"/>
      <c r="LK27" s="308"/>
      <c r="LL27" s="308">
        <v>45</v>
      </c>
      <c r="LM27" s="309"/>
      <c r="LN27" s="310"/>
      <c r="LO27" s="57"/>
      <c r="LP27" s="57"/>
      <c r="LQ27" s="58">
        <f t="shared" si="113"/>
        <v>45</v>
      </c>
      <c r="LR27" s="319"/>
      <c r="LS27" s="308"/>
      <c r="LT27" s="339"/>
      <c r="LU27" s="339"/>
      <c r="LV27" s="339">
        <v>36</v>
      </c>
      <c r="LW27" s="340"/>
      <c r="LX27" s="310"/>
      <c r="LY27" s="57"/>
      <c r="LZ27" s="57"/>
      <c r="MA27" s="58">
        <f t="shared" si="126"/>
        <v>36</v>
      </c>
      <c r="MB27" s="319"/>
      <c r="MC27" s="308"/>
      <c r="MD27" s="308"/>
      <c r="ME27" s="308"/>
      <c r="MF27" s="308">
        <v>34</v>
      </c>
      <c r="MG27" s="309"/>
      <c r="MH27" s="310"/>
      <c r="MI27" s="57"/>
      <c r="MJ27" s="57"/>
      <c r="MK27" s="58">
        <f t="shared" si="29"/>
        <v>34</v>
      </c>
      <c r="ML27" s="319"/>
      <c r="MM27" s="308"/>
      <c r="MN27" s="308"/>
      <c r="MO27" s="308"/>
      <c r="MP27" s="308">
        <v>40</v>
      </c>
      <c r="MQ27" s="309"/>
      <c r="MR27" s="310"/>
      <c r="MS27" s="57"/>
      <c r="MT27" s="57"/>
      <c r="MU27" s="88">
        <f t="shared" si="30"/>
        <v>40</v>
      </c>
      <c r="MV27" s="319"/>
      <c r="MW27" s="308"/>
      <c r="MX27" s="308"/>
      <c r="MY27" s="308"/>
      <c r="MZ27" s="501">
        <v>53</v>
      </c>
      <c r="NA27" s="377"/>
      <c r="NB27" s="310"/>
      <c r="NC27" s="57">
        <v>187</v>
      </c>
      <c r="ND27" s="57"/>
      <c r="NE27" s="58">
        <f t="shared" si="31"/>
        <v>53</v>
      </c>
      <c r="NF27" s="117">
        <f t="shared" si="90"/>
        <v>187</v>
      </c>
      <c r="NG27" s="93">
        <f t="shared" si="32"/>
        <v>208</v>
      </c>
      <c r="NH27" s="349">
        <v>250</v>
      </c>
      <c r="NI27" s="93">
        <f t="shared" si="91"/>
        <v>-42</v>
      </c>
      <c r="NJ27" s="196">
        <f t="shared" si="108"/>
        <v>0.83199999999999996</v>
      </c>
      <c r="NK27" s="119"/>
      <c r="NL27" s="322" t="s">
        <v>68</v>
      </c>
      <c r="NM27" s="318"/>
      <c r="NN27" s="308"/>
      <c r="NO27" s="308"/>
      <c r="NP27" s="308"/>
      <c r="NQ27" s="308">
        <v>51</v>
      </c>
      <c r="NR27" s="309"/>
      <c r="NS27" s="310"/>
      <c r="NT27" s="57"/>
      <c r="NU27" s="57"/>
      <c r="NV27" s="58">
        <f t="shared" si="114"/>
        <v>51</v>
      </c>
      <c r="NW27" s="319"/>
      <c r="NX27" s="308"/>
      <c r="NY27" s="339"/>
      <c r="NZ27" s="339"/>
      <c r="OA27" s="339">
        <v>42</v>
      </c>
      <c r="OB27" s="340"/>
      <c r="OC27" s="310"/>
      <c r="OD27" s="57"/>
      <c r="OE27" s="57"/>
      <c r="OF27" s="58">
        <f t="shared" si="127"/>
        <v>42</v>
      </c>
      <c r="OG27" s="319"/>
      <c r="OH27" s="308"/>
      <c r="OI27" s="308"/>
      <c r="OJ27" s="308"/>
      <c r="OK27" s="308">
        <v>46</v>
      </c>
      <c r="OL27" s="309"/>
      <c r="OM27" s="310"/>
      <c r="ON27" s="57"/>
      <c r="OO27" s="57"/>
      <c r="OP27" s="58">
        <f t="shared" si="35"/>
        <v>46</v>
      </c>
      <c r="OQ27" s="319"/>
      <c r="OR27" s="308"/>
      <c r="OS27" s="308"/>
      <c r="OT27" s="308"/>
      <c r="OU27" s="308">
        <v>50</v>
      </c>
      <c r="OV27" s="309"/>
      <c r="OW27" s="310"/>
      <c r="OX27" s="57"/>
      <c r="OY27" s="57"/>
      <c r="OZ27" s="88">
        <f t="shared" si="36"/>
        <v>50</v>
      </c>
      <c r="PA27" s="319"/>
      <c r="PB27" s="308"/>
      <c r="PC27" s="308"/>
      <c r="PD27" s="308"/>
      <c r="PE27" s="501">
        <v>91</v>
      </c>
      <c r="PF27" s="377"/>
      <c r="PG27" s="310"/>
      <c r="PH27" s="57"/>
      <c r="PI27" s="57"/>
      <c r="PJ27" s="58">
        <f t="shared" si="37"/>
        <v>91</v>
      </c>
      <c r="PK27" s="99">
        <f t="shared" si="38"/>
        <v>0</v>
      </c>
      <c r="PL27" s="100">
        <f t="shared" si="39"/>
        <v>280</v>
      </c>
      <c r="PM27" s="346">
        <v>250</v>
      </c>
      <c r="PN27" s="100">
        <f t="shared" si="92"/>
        <v>30</v>
      </c>
      <c r="PO27" s="198">
        <f t="shared" si="109"/>
        <v>1.1200000000000001</v>
      </c>
      <c r="PP27" s="119"/>
      <c r="PQ27" s="322" t="s">
        <v>68</v>
      </c>
      <c r="PR27" s="318"/>
      <c r="PS27" s="308"/>
      <c r="PT27" s="308"/>
      <c r="PU27" s="308"/>
      <c r="PV27" s="308">
        <v>53</v>
      </c>
      <c r="PW27" s="309"/>
      <c r="PX27" s="310"/>
      <c r="PY27" s="57"/>
      <c r="PZ27" s="57"/>
      <c r="QA27" s="58">
        <f t="shared" si="115"/>
        <v>53</v>
      </c>
      <c r="QB27" s="319"/>
      <c r="QC27" s="308"/>
      <c r="QD27" s="339"/>
      <c r="QE27" s="339"/>
      <c r="QF27" s="339">
        <v>25</v>
      </c>
      <c r="QG27" s="340"/>
      <c r="QH27" s="310"/>
      <c r="QI27" s="57"/>
      <c r="QJ27" s="57"/>
      <c r="QK27" s="58">
        <f t="shared" si="128"/>
        <v>25</v>
      </c>
      <c r="QL27" s="319"/>
      <c r="QM27" s="308"/>
      <c r="QN27" s="308"/>
      <c r="QO27" s="308"/>
      <c r="QP27" s="308">
        <v>59</v>
      </c>
      <c r="QQ27" s="309"/>
      <c r="QR27" s="310"/>
      <c r="QS27" s="57"/>
      <c r="QT27" s="57"/>
      <c r="QU27" s="58">
        <f t="shared" si="42"/>
        <v>59</v>
      </c>
      <c r="QV27" s="319">
        <v>34</v>
      </c>
      <c r="QW27" s="308"/>
      <c r="QX27" s="308"/>
      <c r="QY27" s="308"/>
      <c r="QZ27" s="308"/>
      <c r="RA27" s="309"/>
      <c r="RB27" s="310"/>
      <c r="RC27" s="57"/>
      <c r="RD27" s="57"/>
      <c r="RE27" s="88">
        <f t="shared" si="43"/>
        <v>34</v>
      </c>
      <c r="RF27" s="319"/>
      <c r="RG27" s="308"/>
      <c r="RH27" s="308"/>
      <c r="RI27" s="308"/>
      <c r="RJ27" s="501">
        <v>43</v>
      </c>
      <c r="RK27" s="377"/>
      <c r="RL27" s="310"/>
      <c r="RM27" s="57">
        <v>246</v>
      </c>
      <c r="RN27" s="57"/>
      <c r="RO27" s="58">
        <f t="shared" si="44"/>
        <v>43</v>
      </c>
      <c r="RP27" s="121">
        <f t="shared" si="93"/>
        <v>246</v>
      </c>
      <c r="RQ27" s="104">
        <f t="shared" si="45"/>
        <v>214</v>
      </c>
      <c r="RR27" s="350">
        <v>250</v>
      </c>
      <c r="RS27" s="104">
        <f t="shared" si="94"/>
        <v>-36</v>
      </c>
      <c r="RT27" s="205">
        <f t="shared" si="110"/>
        <v>0.85599999999999998</v>
      </c>
      <c r="RV27" s="123">
        <f t="shared" si="136"/>
        <v>676</v>
      </c>
      <c r="RW27" s="124">
        <f t="shared" si="136"/>
        <v>872</v>
      </c>
      <c r="RX27" s="124">
        <f t="shared" si="136"/>
        <v>1000</v>
      </c>
      <c r="RY27" s="125">
        <f t="shared" si="96"/>
        <v>0.872</v>
      </c>
      <c r="SA27" s="165" t="s">
        <v>68</v>
      </c>
      <c r="SB27" s="324"/>
      <c r="SC27" s="200"/>
      <c r="SD27" s="200"/>
      <c r="SE27" s="200"/>
      <c r="SF27" s="200">
        <v>15</v>
      </c>
      <c r="SG27" s="325"/>
      <c r="SH27" s="326"/>
      <c r="SI27" s="134"/>
      <c r="SJ27" s="134"/>
      <c r="SK27" s="131">
        <f t="shared" si="116"/>
        <v>15</v>
      </c>
      <c r="SL27" s="327"/>
      <c r="SM27" s="200"/>
      <c r="SN27" s="200"/>
      <c r="SO27" s="200"/>
      <c r="SP27" s="200">
        <v>18</v>
      </c>
      <c r="SQ27" s="325"/>
      <c r="SR27" s="326"/>
      <c r="SS27" s="134"/>
      <c r="ST27" s="134"/>
      <c r="SU27" s="131">
        <f t="shared" si="129"/>
        <v>18</v>
      </c>
      <c r="SV27" s="327"/>
      <c r="SW27" s="200"/>
      <c r="SX27" s="200"/>
      <c r="SY27" s="200"/>
      <c r="SZ27" s="200">
        <v>22</v>
      </c>
      <c r="TA27" s="325"/>
      <c r="TB27" s="326"/>
      <c r="TC27" s="134"/>
      <c r="TD27" s="134"/>
      <c r="TE27" s="131">
        <f t="shared" si="117"/>
        <v>22</v>
      </c>
      <c r="TF27" s="327"/>
      <c r="TG27" s="200"/>
      <c r="TH27" s="200"/>
      <c r="TI27" s="200"/>
      <c r="TJ27" s="200">
        <v>23</v>
      </c>
      <c r="TK27" s="325"/>
      <c r="TL27" s="326"/>
      <c r="TM27" s="134"/>
      <c r="TN27" s="134"/>
      <c r="TO27" s="131">
        <f t="shared" si="49"/>
        <v>23</v>
      </c>
      <c r="TP27" s="327"/>
      <c r="TQ27" s="200"/>
      <c r="TR27" s="200"/>
      <c r="TS27" s="200"/>
      <c r="TT27" s="502">
        <v>30</v>
      </c>
      <c r="TU27" s="325"/>
      <c r="TV27" s="326"/>
      <c r="TW27" s="134"/>
      <c r="TX27" s="134"/>
      <c r="TY27" s="136">
        <f t="shared" si="50"/>
        <v>30</v>
      </c>
      <c r="TZ27" s="209">
        <f t="shared" si="137"/>
        <v>0</v>
      </c>
      <c r="UA27" s="210">
        <f t="shared" si="137"/>
        <v>108</v>
      </c>
      <c r="UB27" s="210">
        <v>250</v>
      </c>
      <c r="UC27" s="211">
        <f t="shared" si="51"/>
        <v>0.432</v>
      </c>
      <c r="UD27" s="140"/>
      <c r="UE27" s="220" t="s">
        <v>68</v>
      </c>
      <c r="UF27" s="324"/>
      <c r="UG27" s="200"/>
      <c r="UH27" s="200"/>
      <c r="UI27" s="200"/>
      <c r="UJ27" s="200">
        <v>30</v>
      </c>
      <c r="UK27" s="325"/>
      <c r="UL27" s="326"/>
      <c r="UM27" s="134"/>
      <c r="UN27" s="134"/>
      <c r="UO27" s="131">
        <f t="shared" si="118"/>
        <v>30</v>
      </c>
      <c r="UP27" s="327"/>
      <c r="UQ27" s="200"/>
      <c r="UR27" s="200"/>
      <c r="US27" s="200"/>
      <c r="UT27" s="200">
        <v>15</v>
      </c>
      <c r="UU27" s="325"/>
      <c r="UV27" s="326"/>
      <c r="UW27" s="134"/>
      <c r="UX27" s="134"/>
      <c r="UY27" s="131">
        <f t="shared" si="130"/>
        <v>15</v>
      </c>
      <c r="UZ27" s="327"/>
      <c r="VA27" s="200"/>
      <c r="VB27" s="200"/>
      <c r="VC27" s="200"/>
      <c r="VD27" s="200">
        <v>25</v>
      </c>
      <c r="VE27" s="325"/>
      <c r="VF27" s="326"/>
      <c r="VG27" s="134"/>
      <c r="VH27" s="134"/>
      <c r="VI27" s="131">
        <f t="shared" si="119"/>
        <v>25</v>
      </c>
      <c r="VJ27" s="327"/>
      <c r="VK27" s="200"/>
      <c r="VL27" s="200"/>
      <c r="VM27" s="200">
        <v>93</v>
      </c>
      <c r="VN27" s="200"/>
      <c r="VO27" s="325"/>
      <c r="VP27" s="326"/>
      <c r="VQ27" s="134"/>
      <c r="VR27" s="134"/>
      <c r="VS27" s="131">
        <f t="shared" si="55"/>
        <v>93</v>
      </c>
      <c r="VT27" s="327"/>
      <c r="VU27" s="200"/>
      <c r="VV27" s="200"/>
      <c r="VW27" s="200"/>
      <c r="VX27" s="503"/>
      <c r="VY27" s="325">
        <v>35</v>
      </c>
      <c r="VZ27" s="326"/>
      <c r="WA27" s="134"/>
      <c r="WB27" s="134"/>
      <c r="WC27" s="131">
        <f t="shared" si="56"/>
        <v>35</v>
      </c>
      <c r="WD27" s="216">
        <f t="shared" si="138"/>
        <v>0</v>
      </c>
      <c r="WE27" s="217">
        <f t="shared" si="138"/>
        <v>198</v>
      </c>
      <c r="WF27" s="217">
        <v>250</v>
      </c>
      <c r="WG27" s="218">
        <f t="shared" si="57"/>
        <v>0.79200000000000004</v>
      </c>
      <c r="WH27" s="146"/>
      <c r="WI27" s="220" t="s">
        <v>68</v>
      </c>
      <c r="WJ27" s="324"/>
      <c r="WK27" s="200"/>
      <c r="WL27" s="200"/>
      <c r="WM27" s="200"/>
      <c r="WN27" s="200">
        <v>30</v>
      </c>
      <c r="WO27" s="325"/>
      <c r="WP27" s="326"/>
      <c r="WQ27" s="134"/>
      <c r="WR27" s="134"/>
      <c r="WS27" s="131">
        <f t="shared" si="58"/>
        <v>30</v>
      </c>
      <c r="WT27" s="327"/>
      <c r="WU27" s="200"/>
      <c r="WV27" s="200"/>
      <c r="WW27" s="200"/>
      <c r="WX27" s="200">
        <v>24</v>
      </c>
      <c r="WY27" s="325"/>
      <c r="WZ27" s="326"/>
      <c r="XA27" s="134"/>
      <c r="XB27" s="134"/>
      <c r="XC27" s="131">
        <f t="shared" si="131"/>
        <v>24</v>
      </c>
      <c r="XD27" s="327"/>
      <c r="XE27" s="200"/>
      <c r="XF27" s="200"/>
      <c r="XG27" s="200">
        <v>188</v>
      </c>
      <c r="XH27" s="200">
        <v>6</v>
      </c>
      <c r="XI27" s="325"/>
      <c r="XJ27" s="326"/>
      <c r="XK27" s="134"/>
      <c r="XL27" s="134"/>
      <c r="XM27" s="131">
        <f t="shared" si="120"/>
        <v>194</v>
      </c>
      <c r="XN27" s="327"/>
      <c r="XO27" s="200"/>
      <c r="XP27" s="200"/>
      <c r="XQ27" s="200">
        <v>67</v>
      </c>
      <c r="XR27" s="200">
        <v>26</v>
      </c>
      <c r="XS27" s="325"/>
      <c r="XT27" s="326"/>
      <c r="XU27" s="134"/>
      <c r="XV27" s="134"/>
      <c r="XW27" s="131">
        <f t="shared" si="61"/>
        <v>93</v>
      </c>
      <c r="XX27" s="327"/>
      <c r="XY27" s="200"/>
      <c r="XZ27" s="200"/>
      <c r="YA27" s="200">
        <v>76</v>
      </c>
      <c r="YB27" s="504">
        <v>38</v>
      </c>
      <c r="YC27" s="325"/>
      <c r="YD27" s="326"/>
      <c r="YE27" s="134"/>
      <c r="YF27" s="134"/>
      <c r="YG27" s="131">
        <f t="shared" si="62"/>
        <v>114</v>
      </c>
      <c r="YH27" s="221">
        <f t="shared" si="139"/>
        <v>0</v>
      </c>
      <c r="YI27" s="148">
        <f t="shared" si="139"/>
        <v>455</v>
      </c>
      <c r="YJ27" s="222">
        <v>455</v>
      </c>
      <c r="YK27" s="223">
        <f>+YI27/YJ27</f>
        <v>1</v>
      </c>
      <c r="YL27" s="150"/>
      <c r="YM27" s="328"/>
      <c r="YN27" s="200"/>
      <c r="YO27" s="200"/>
      <c r="YP27" s="200"/>
      <c r="YQ27" s="200">
        <v>46</v>
      </c>
      <c r="YR27" s="325"/>
      <c r="YS27" s="326"/>
      <c r="YT27" s="134"/>
      <c r="YU27" s="134"/>
      <c r="YV27" s="131">
        <f t="shared" si="121"/>
        <v>46</v>
      </c>
      <c r="YW27" s="327"/>
      <c r="YX27" s="200"/>
      <c r="YY27" s="200"/>
      <c r="YZ27" s="200"/>
      <c r="ZA27" s="200"/>
      <c r="ZB27" s="325"/>
      <c r="ZC27" s="326"/>
      <c r="ZD27" s="134"/>
      <c r="ZE27" s="134"/>
      <c r="ZF27" s="131">
        <f t="shared" si="132"/>
        <v>0</v>
      </c>
      <c r="ZG27" s="327"/>
      <c r="ZH27" s="200"/>
      <c r="ZI27" s="200"/>
      <c r="ZJ27" s="200"/>
      <c r="ZK27" s="200">
        <v>33</v>
      </c>
      <c r="ZL27" s="325"/>
      <c r="ZM27" s="326"/>
      <c r="ZN27" s="134"/>
      <c r="ZO27" s="134"/>
      <c r="ZP27" s="131">
        <f t="shared" si="122"/>
        <v>33</v>
      </c>
      <c r="ZQ27" s="327"/>
      <c r="ZR27" s="200"/>
      <c r="ZS27" s="200"/>
      <c r="ZT27" s="200">
        <v>26</v>
      </c>
      <c r="ZU27" s="200">
        <v>9</v>
      </c>
      <c r="ZV27" s="325"/>
      <c r="ZW27" s="326"/>
      <c r="ZX27" s="134"/>
      <c r="ZY27" s="134"/>
      <c r="ZZ27" s="131">
        <f t="shared" si="67"/>
        <v>35</v>
      </c>
      <c r="AAA27" s="327"/>
      <c r="AAB27" s="200"/>
      <c r="AAC27" s="200"/>
      <c r="AAD27" s="200"/>
      <c r="AAE27" s="502">
        <v>38</v>
      </c>
      <c r="AAF27" s="325"/>
      <c r="AAG27" s="326"/>
      <c r="AAH27" s="134"/>
      <c r="AAI27" s="134"/>
      <c r="AAJ27" s="131">
        <f t="shared" si="68"/>
        <v>38</v>
      </c>
      <c r="AAK27" s="226">
        <f t="shared" si="69"/>
        <v>152</v>
      </c>
      <c r="AAL27" s="226">
        <v>200</v>
      </c>
      <c r="AAM27" s="227">
        <f t="shared" si="70"/>
        <v>0.76</v>
      </c>
      <c r="AAN27" s="329" t="s">
        <v>68</v>
      </c>
      <c r="AAO27" s="324"/>
      <c r="AAP27" s="200"/>
      <c r="AAQ27" s="200"/>
      <c r="AAR27" s="200"/>
      <c r="AAS27" s="200"/>
      <c r="AAT27" s="325"/>
      <c r="AAU27" s="326"/>
      <c r="AAV27" s="134"/>
      <c r="AAW27" s="134"/>
      <c r="AAX27" s="155"/>
      <c r="AAY27" s="131">
        <f t="shared" si="123"/>
        <v>0</v>
      </c>
      <c r="AAZ27" s="327"/>
      <c r="ABA27" s="200"/>
      <c r="ABB27" s="200"/>
      <c r="ABC27" s="200">
        <v>79</v>
      </c>
      <c r="ABD27" s="200">
        <v>5</v>
      </c>
      <c r="ABE27" s="325"/>
      <c r="ABF27" s="326"/>
      <c r="ABG27" s="134"/>
      <c r="ABH27" s="134"/>
      <c r="ABI27" s="131">
        <f t="shared" si="71"/>
        <v>84</v>
      </c>
      <c r="ABJ27" s="327"/>
      <c r="ABK27" s="200"/>
      <c r="ABL27" s="200"/>
      <c r="ABM27" s="200"/>
      <c r="ABN27" s="200">
        <v>19</v>
      </c>
      <c r="ABO27" s="325"/>
      <c r="ABP27" s="326"/>
      <c r="ABQ27" s="134"/>
      <c r="ABR27" s="134"/>
      <c r="ABS27" s="131">
        <f t="shared" si="124"/>
        <v>19</v>
      </c>
      <c r="ABT27" s="327"/>
      <c r="ABU27" s="200"/>
      <c r="ABV27" s="200"/>
      <c r="ABW27" s="200"/>
      <c r="ABX27" s="200">
        <v>20</v>
      </c>
      <c r="ABY27" s="325"/>
      <c r="ABZ27" s="326"/>
      <c r="ACA27" s="134">
        <v>15</v>
      </c>
      <c r="ACB27" s="134"/>
      <c r="ACC27" s="131">
        <f t="shared" si="73"/>
        <v>20</v>
      </c>
      <c r="ACD27" s="327"/>
      <c r="ACE27" s="200"/>
      <c r="ACF27" s="200"/>
      <c r="ACG27" s="200">
        <v>5</v>
      </c>
      <c r="ACH27" s="504">
        <v>5</v>
      </c>
      <c r="ACI27" s="325"/>
      <c r="ACJ27" s="326"/>
      <c r="ACK27" s="134">
        <v>7</v>
      </c>
      <c r="ACL27" s="134"/>
      <c r="ACM27" s="131">
        <f t="shared" si="74"/>
        <v>10</v>
      </c>
      <c r="ACN27" s="156">
        <f t="shared" si="75"/>
        <v>0</v>
      </c>
      <c r="ACO27" s="157"/>
      <c r="ACP27" s="229">
        <f t="shared" si="100"/>
        <v>133</v>
      </c>
      <c r="ACQ27" s="229">
        <v>200</v>
      </c>
      <c r="ACR27" s="230">
        <f t="shared" si="101"/>
        <v>0.66500000000000004</v>
      </c>
      <c r="ACS27" s="231">
        <f t="shared" si="76"/>
        <v>1046</v>
      </c>
      <c r="ACT27" s="207">
        <f t="shared" si="76"/>
        <v>1355</v>
      </c>
      <c r="ACU27" s="208">
        <f t="shared" si="102"/>
        <v>0.77195571955719555</v>
      </c>
      <c r="ACW27" s="163">
        <f t="shared" si="103"/>
        <v>0.81661269083279076</v>
      </c>
      <c r="ACX27" s="5">
        <v>4</v>
      </c>
    </row>
    <row r="28" spans="1:778" s="95" customFormat="1" x14ac:dyDescent="0.35">
      <c r="A28" s="164" t="s">
        <v>46</v>
      </c>
      <c r="B28" s="165" t="s">
        <v>91</v>
      </c>
      <c r="C28" s="384"/>
      <c r="D28" s="339"/>
      <c r="E28" s="339"/>
      <c r="F28" s="339">
        <v>50</v>
      </c>
      <c r="G28" s="339"/>
      <c r="H28" s="340"/>
      <c r="I28" s="310"/>
      <c r="J28" s="57"/>
      <c r="K28" s="58">
        <f t="shared" si="0"/>
        <v>50</v>
      </c>
      <c r="L28" s="338"/>
      <c r="M28" s="339"/>
      <c r="N28" s="339"/>
      <c r="O28" s="339">
        <v>46</v>
      </c>
      <c r="P28" s="339"/>
      <c r="Q28" s="340"/>
      <c r="R28" s="375"/>
      <c r="S28" s="376"/>
      <c r="T28" s="58">
        <f t="shared" si="1"/>
        <v>46</v>
      </c>
      <c r="U28" s="314"/>
      <c r="V28" s="315"/>
      <c r="W28" s="315"/>
      <c r="X28" s="315"/>
      <c r="Y28" s="315"/>
      <c r="Z28" s="316"/>
      <c r="AA28" s="317"/>
      <c r="AB28" s="66"/>
      <c r="AC28" s="67">
        <f t="shared" si="2"/>
        <v>0</v>
      </c>
      <c r="AD28" s="338"/>
      <c r="AE28" s="339"/>
      <c r="AF28" s="339"/>
      <c r="AG28" s="339">
        <v>61</v>
      </c>
      <c r="AH28" s="339"/>
      <c r="AI28" s="340"/>
      <c r="AJ28" s="310"/>
      <c r="AK28" s="57"/>
      <c r="AL28" s="88">
        <f t="shared" si="3"/>
        <v>61</v>
      </c>
      <c r="AM28" s="338"/>
      <c r="AN28" s="339"/>
      <c r="AO28" s="339"/>
      <c r="AP28" s="339">
        <v>31</v>
      </c>
      <c r="AQ28" s="505"/>
      <c r="AR28" s="341"/>
      <c r="AS28" s="310"/>
      <c r="AT28" s="57"/>
      <c r="AU28" s="58">
        <f t="shared" si="4"/>
        <v>31</v>
      </c>
      <c r="AV28" s="81">
        <v>1</v>
      </c>
      <c r="AW28" s="82">
        <f t="shared" si="77"/>
        <v>188</v>
      </c>
      <c r="AX28" s="82">
        <v>200</v>
      </c>
      <c r="AY28" s="172">
        <f t="shared" si="5"/>
        <v>0.94</v>
      </c>
      <c r="AZ28" s="84"/>
      <c r="BA28" s="332"/>
      <c r="BB28" s="333"/>
      <c r="BC28" s="333"/>
      <c r="BD28" s="333"/>
      <c r="BE28" s="333"/>
      <c r="BF28" s="334"/>
      <c r="BG28" s="335"/>
      <c r="BH28" s="72"/>
      <c r="BI28" s="86">
        <f t="shared" si="6"/>
        <v>0</v>
      </c>
      <c r="BJ28" s="387"/>
      <c r="BK28" s="339"/>
      <c r="BL28" s="339"/>
      <c r="BM28" s="339">
        <v>19</v>
      </c>
      <c r="BN28" s="339"/>
      <c r="BO28" s="340"/>
      <c r="BP28" s="56"/>
      <c r="BQ28" s="57"/>
      <c r="BR28" s="58">
        <f t="shared" si="7"/>
        <v>19</v>
      </c>
      <c r="BS28" s="338"/>
      <c r="BT28" s="339"/>
      <c r="BU28" s="339"/>
      <c r="BV28" s="339"/>
      <c r="BW28" s="339">
        <v>20</v>
      </c>
      <c r="BX28" s="340"/>
      <c r="BY28" s="56"/>
      <c r="BZ28" s="57"/>
      <c r="CA28" s="58">
        <f>+BS28+BT28+BU28+BV28+BW28+BX28</f>
        <v>20</v>
      </c>
      <c r="CB28" s="338"/>
      <c r="CC28" s="339"/>
      <c r="CD28" s="339"/>
      <c r="CE28" s="339">
        <v>23</v>
      </c>
      <c r="CF28" s="339"/>
      <c r="CG28" s="340"/>
      <c r="CH28" s="56"/>
      <c r="CI28" s="57"/>
      <c r="CJ28" s="58">
        <f>+CB28+CC28+CD28+CE28+CF28+CG28</f>
        <v>23</v>
      </c>
      <c r="CK28" s="338"/>
      <c r="CL28" s="339"/>
      <c r="CM28" s="339"/>
      <c r="CN28" s="339">
        <v>11</v>
      </c>
      <c r="CO28" s="505"/>
      <c r="CP28" s="341"/>
      <c r="CQ28" s="56"/>
      <c r="CR28" s="57"/>
      <c r="CS28" s="91">
        <f t="shared" si="78"/>
        <v>11</v>
      </c>
      <c r="CT28" s="92">
        <v>15</v>
      </c>
      <c r="CU28" s="93">
        <f t="shared" si="79"/>
        <v>73</v>
      </c>
      <c r="CV28" s="93">
        <v>200</v>
      </c>
      <c r="CW28" s="175">
        <f t="shared" si="8"/>
        <v>0.36499999999999999</v>
      </c>
      <c r="CY28" s="384"/>
      <c r="CZ28" s="339"/>
      <c r="DA28" s="339"/>
      <c r="DB28" s="339">
        <v>18</v>
      </c>
      <c r="DC28" s="339"/>
      <c r="DD28" s="340"/>
      <c r="DE28" s="310"/>
      <c r="DF28" s="57"/>
      <c r="DG28" s="58">
        <f t="shared" si="9"/>
        <v>18</v>
      </c>
      <c r="DH28" s="338"/>
      <c r="DI28" s="339"/>
      <c r="DJ28" s="339"/>
      <c r="DK28" s="339">
        <v>19</v>
      </c>
      <c r="DL28" s="339"/>
      <c r="DM28" s="340"/>
      <c r="DN28" s="310"/>
      <c r="DO28" s="57"/>
      <c r="DP28" s="58">
        <f t="shared" si="10"/>
        <v>19</v>
      </c>
      <c r="DQ28" s="338"/>
      <c r="DR28" s="339"/>
      <c r="DS28" s="339"/>
      <c r="DT28" s="339">
        <v>13</v>
      </c>
      <c r="DU28" s="339"/>
      <c r="DV28" s="340"/>
      <c r="DW28" s="310"/>
      <c r="DX28" s="57"/>
      <c r="DY28" s="58">
        <f t="shared" si="80"/>
        <v>13</v>
      </c>
      <c r="DZ28" s="338"/>
      <c r="EA28" s="339"/>
      <c r="EB28" s="339"/>
      <c r="EC28" s="339">
        <v>16</v>
      </c>
      <c r="ED28" s="339"/>
      <c r="EE28" s="340"/>
      <c r="EF28" s="310"/>
      <c r="EG28" s="57"/>
      <c r="EH28" s="96">
        <f t="shared" si="81"/>
        <v>16</v>
      </c>
      <c r="EI28" s="351"/>
      <c r="EJ28" s="339"/>
      <c r="EK28" s="339"/>
      <c r="EL28" s="339">
        <v>26</v>
      </c>
      <c r="EM28" s="505"/>
      <c r="EN28" s="341"/>
      <c r="EO28" s="310"/>
      <c r="EP28" s="57"/>
      <c r="EQ28" s="98">
        <f t="shared" si="82"/>
        <v>26</v>
      </c>
      <c r="ER28" s="99">
        <v>110</v>
      </c>
      <c r="ES28" s="100">
        <f t="shared" si="111"/>
        <v>92</v>
      </c>
      <c r="ET28" s="346">
        <v>250</v>
      </c>
      <c r="EU28" s="177">
        <f t="shared" si="11"/>
        <v>0.36799999999999999</v>
      </c>
      <c r="EW28" s="384"/>
      <c r="EX28" s="339"/>
      <c r="EY28" s="339"/>
      <c r="EZ28" s="339">
        <v>18</v>
      </c>
      <c r="FA28" s="339"/>
      <c r="FB28" s="340"/>
      <c r="FC28" s="310"/>
      <c r="FD28" s="57"/>
      <c r="FE28" s="58">
        <f t="shared" si="12"/>
        <v>18</v>
      </c>
      <c r="FF28" s="338"/>
      <c r="FG28" s="339"/>
      <c r="FH28" s="339"/>
      <c r="FI28" s="339">
        <v>17</v>
      </c>
      <c r="FJ28" s="339"/>
      <c r="FK28" s="340"/>
      <c r="FL28" s="310"/>
      <c r="FM28" s="57"/>
      <c r="FN28" s="58">
        <f t="shared" si="13"/>
        <v>17</v>
      </c>
      <c r="FO28" s="338"/>
      <c r="FP28" s="339"/>
      <c r="FQ28" s="339"/>
      <c r="FR28" s="339">
        <v>24</v>
      </c>
      <c r="FS28" s="339"/>
      <c r="FT28" s="340"/>
      <c r="FU28" s="310"/>
      <c r="FV28" s="57"/>
      <c r="FW28" s="58">
        <f t="shared" si="83"/>
        <v>24</v>
      </c>
      <c r="FX28" s="338"/>
      <c r="FY28" s="339"/>
      <c r="FZ28" s="339"/>
      <c r="GA28" s="339">
        <v>8</v>
      </c>
      <c r="GB28" s="339"/>
      <c r="GC28" s="340"/>
      <c r="GD28" s="310"/>
      <c r="GE28" s="57"/>
      <c r="GF28" s="58">
        <f t="shared" si="84"/>
        <v>8</v>
      </c>
      <c r="GG28" s="338"/>
      <c r="GH28" s="339"/>
      <c r="GI28" s="339"/>
      <c r="GJ28" s="339">
        <v>46</v>
      </c>
      <c r="GK28" s="505"/>
      <c r="GL28" s="341"/>
      <c r="GM28" s="310"/>
      <c r="GN28" s="57"/>
      <c r="GO28" s="58">
        <f t="shared" si="85"/>
        <v>46</v>
      </c>
      <c r="GP28" s="103">
        <v>139</v>
      </c>
      <c r="GQ28" s="104">
        <f t="shared" si="135"/>
        <v>113</v>
      </c>
      <c r="GR28" s="104">
        <v>250</v>
      </c>
      <c r="GS28" s="178">
        <f t="shared" si="14"/>
        <v>0.45200000000000001</v>
      </c>
      <c r="GT28" s="307"/>
      <c r="GU28" s="308"/>
      <c r="GV28" s="308"/>
      <c r="GW28" s="308"/>
      <c r="GX28" s="308"/>
      <c r="GY28" s="309"/>
      <c r="GZ28" s="310"/>
      <c r="HA28" s="57"/>
      <c r="HB28" s="57"/>
      <c r="HC28" s="58">
        <f t="shared" si="15"/>
        <v>0</v>
      </c>
      <c r="HD28" s="319"/>
      <c r="HE28" s="308"/>
      <c r="HF28" s="339"/>
      <c r="HG28" s="339"/>
      <c r="HH28" s="339"/>
      <c r="HI28" s="340"/>
      <c r="HJ28" s="310"/>
      <c r="HK28" s="57"/>
      <c r="HL28" s="57"/>
      <c r="HM28" s="58">
        <f t="shared" si="16"/>
        <v>0</v>
      </c>
      <c r="HN28" s="319"/>
      <c r="HO28" s="308"/>
      <c r="HP28" s="308"/>
      <c r="HQ28" s="308"/>
      <c r="HR28" s="308"/>
      <c r="HS28" s="309"/>
      <c r="HT28" s="310"/>
      <c r="HU28" s="57"/>
      <c r="HV28" s="57"/>
      <c r="HW28" s="58">
        <f t="shared" si="17"/>
        <v>0</v>
      </c>
      <c r="HX28" s="319"/>
      <c r="HY28" s="308"/>
      <c r="HZ28" s="308"/>
      <c r="IA28" s="308"/>
      <c r="IB28" s="308"/>
      <c r="IC28" s="309"/>
      <c r="ID28" s="310"/>
      <c r="IE28" s="57"/>
      <c r="IF28" s="57"/>
      <c r="IG28" s="88">
        <f t="shared" si="18"/>
        <v>0</v>
      </c>
      <c r="IH28" s="319"/>
      <c r="II28" s="308"/>
      <c r="IJ28" s="308"/>
      <c r="IK28" s="308"/>
      <c r="IL28" s="501"/>
      <c r="IM28" s="377"/>
      <c r="IN28" s="310"/>
      <c r="IO28" s="57"/>
      <c r="IP28" s="57"/>
      <c r="IQ28" s="58">
        <f t="shared" si="19"/>
        <v>0</v>
      </c>
      <c r="IR28" s="106"/>
      <c r="IS28" s="107"/>
      <c r="IT28" s="107"/>
      <c r="IU28" s="179"/>
      <c r="IW28" s="109">
        <f t="shared" si="87"/>
        <v>265</v>
      </c>
      <c r="IX28" s="110">
        <f t="shared" si="87"/>
        <v>466</v>
      </c>
      <c r="IY28" s="110">
        <f t="shared" si="87"/>
        <v>900</v>
      </c>
      <c r="IZ28" s="321">
        <f t="shared" si="20"/>
        <v>0.51777777777777778</v>
      </c>
      <c r="JB28" s="182" t="s">
        <v>69</v>
      </c>
      <c r="JC28" s="360"/>
      <c r="JD28" s="361"/>
      <c r="JE28" s="361"/>
      <c r="JF28" s="361"/>
      <c r="JG28" s="361">
        <v>11</v>
      </c>
      <c r="JH28" s="362"/>
      <c r="JI28" s="363"/>
      <c r="JJ28" s="187">
        <v>3</v>
      </c>
      <c r="JK28" s="187"/>
      <c r="JL28" s="188">
        <f t="shared" si="112"/>
        <v>11</v>
      </c>
      <c r="JM28" s="364"/>
      <c r="JN28" s="361"/>
      <c r="JO28" s="361"/>
      <c r="JP28" s="361"/>
      <c r="JQ28" s="361">
        <v>12</v>
      </c>
      <c r="JR28" s="362"/>
      <c r="JS28" s="363"/>
      <c r="JT28" s="187">
        <v>2</v>
      </c>
      <c r="JU28" s="187"/>
      <c r="JV28" s="204">
        <f t="shared" si="125"/>
        <v>12</v>
      </c>
      <c r="JW28" s="358"/>
      <c r="JX28" s="200"/>
      <c r="JY28" s="200"/>
      <c r="JZ28" s="200"/>
      <c r="KA28" s="200">
        <v>5</v>
      </c>
      <c r="KB28" s="325"/>
      <c r="KC28" s="201"/>
      <c r="KD28" s="134">
        <v>16</v>
      </c>
      <c r="KE28" s="134"/>
      <c r="KF28" s="204">
        <f t="shared" si="23"/>
        <v>5</v>
      </c>
      <c r="KG28" s="358"/>
      <c r="KH28" s="200"/>
      <c r="KI28" s="200"/>
      <c r="KJ28" s="200"/>
      <c r="KK28" s="200">
        <v>10</v>
      </c>
      <c r="KL28" s="325"/>
      <c r="KM28" s="201"/>
      <c r="KN28" s="134">
        <v>3</v>
      </c>
      <c r="KO28" s="134"/>
      <c r="KP28" s="204">
        <f t="shared" si="24"/>
        <v>10</v>
      </c>
      <c r="KQ28" s="358"/>
      <c r="KR28" s="200"/>
      <c r="KS28" s="200"/>
      <c r="KT28" s="200"/>
      <c r="KU28" s="502">
        <v>27</v>
      </c>
      <c r="KV28" s="325"/>
      <c r="KW28" s="203"/>
      <c r="KX28" s="134">
        <v>102</v>
      </c>
      <c r="KY28" s="134"/>
      <c r="KZ28" s="204">
        <f t="shared" si="25"/>
        <v>27</v>
      </c>
      <c r="LA28" s="190">
        <f t="shared" si="107"/>
        <v>102</v>
      </c>
      <c r="LB28" s="138">
        <f t="shared" si="26"/>
        <v>65</v>
      </c>
      <c r="LC28" s="210">
        <v>100</v>
      </c>
      <c r="LD28" s="138">
        <f t="shared" si="88"/>
        <v>-35</v>
      </c>
      <c r="LE28" s="506">
        <f t="shared" si="89"/>
        <v>0.65</v>
      </c>
      <c r="LF28" s="193"/>
      <c r="LG28" s="194" t="s">
        <v>69</v>
      </c>
      <c r="LH28" s="360"/>
      <c r="LI28" s="361"/>
      <c r="LJ28" s="361"/>
      <c r="LK28" s="361"/>
      <c r="LL28" s="361"/>
      <c r="LM28" s="362"/>
      <c r="LN28" s="363"/>
      <c r="LO28" s="187"/>
      <c r="LP28" s="187"/>
      <c r="LQ28" s="188">
        <f t="shared" si="113"/>
        <v>0</v>
      </c>
      <c r="LR28" s="364"/>
      <c r="LS28" s="361"/>
      <c r="LT28" s="361"/>
      <c r="LU28" s="361"/>
      <c r="LV28" s="361"/>
      <c r="LW28" s="362"/>
      <c r="LX28" s="363"/>
      <c r="LY28" s="187"/>
      <c r="LZ28" s="187"/>
      <c r="MA28" s="188">
        <f t="shared" si="126"/>
        <v>0</v>
      </c>
      <c r="MB28" s="364"/>
      <c r="MC28" s="361"/>
      <c r="MD28" s="361"/>
      <c r="ME28" s="361"/>
      <c r="MF28" s="361"/>
      <c r="MG28" s="362"/>
      <c r="MH28" s="363"/>
      <c r="MI28" s="187"/>
      <c r="MJ28" s="187"/>
      <c r="MK28" s="188">
        <f t="shared" si="29"/>
        <v>0</v>
      </c>
      <c r="ML28" s="364"/>
      <c r="MM28" s="361"/>
      <c r="MN28" s="361"/>
      <c r="MO28" s="361"/>
      <c r="MP28" s="361">
        <v>14</v>
      </c>
      <c r="MQ28" s="362"/>
      <c r="MR28" s="363"/>
      <c r="MS28" s="187"/>
      <c r="MT28" s="187"/>
      <c r="MU28" s="188">
        <f t="shared" si="30"/>
        <v>14</v>
      </c>
      <c r="MV28" s="364"/>
      <c r="MW28" s="361"/>
      <c r="MX28" s="361"/>
      <c r="MY28" s="361"/>
      <c r="MZ28" s="507">
        <v>20</v>
      </c>
      <c r="NA28" s="362"/>
      <c r="NB28" s="363"/>
      <c r="NC28" s="187">
        <v>31</v>
      </c>
      <c r="ND28" s="187"/>
      <c r="NE28" s="188">
        <f t="shared" si="31"/>
        <v>20</v>
      </c>
      <c r="NF28" s="117">
        <f t="shared" si="90"/>
        <v>31</v>
      </c>
      <c r="NG28" s="195">
        <f t="shared" si="32"/>
        <v>34</v>
      </c>
      <c r="NH28" s="365">
        <v>100</v>
      </c>
      <c r="NI28" s="195">
        <f t="shared" si="91"/>
        <v>-66</v>
      </c>
      <c r="NJ28" s="196">
        <f t="shared" si="108"/>
        <v>0.34</v>
      </c>
      <c r="NK28" s="193"/>
      <c r="NL28" s="194" t="s">
        <v>69</v>
      </c>
      <c r="NM28" s="360"/>
      <c r="NN28" s="361"/>
      <c r="NO28" s="361"/>
      <c r="NP28" s="361">
        <v>11</v>
      </c>
      <c r="NQ28" s="361"/>
      <c r="NR28" s="362"/>
      <c r="NS28" s="363"/>
      <c r="NT28" s="187"/>
      <c r="NU28" s="187"/>
      <c r="NV28" s="188">
        <f t="shared" si="114"/>
        <v>11</v>
      </c>
      <c r="NW28" s="364"/>
      <c r="NX28" s="361"/>
      <c r="NY28" s="361"/>
      <c r="NZ28" s="361">
        <v>65</v>
      </c>
      <c r="OA28" s="361"/>
      <c r="OB28" s="362"/>
      <c r="OC28" s="363"/>
      <c r="OD28" s="187"/>
      <c r="OE28" s="187"/>
      <c r="OF28" s="188">
        <f t="shared" si="127"/>
        <v>65</v>
      </c>
      <c r="OG28" s="364"/>
      <c r="OH28" s="361"/>
      <c r="OI28" s="361"/>
      <c r="OJ28" s="361">
        <v>14</v>
      </c>
      <c r="OK28" s="361"/>
      <c r="OL28" s="362"/>
      <c r="OM28" s="363"/>
      <c r="ON28" s="187"/>
      <c r="OO28" s="187"/>
      <c r="OP28" s="188">
        <f t="shared" si="35"/>
        <v>14</v>
      </c>
      <c r="OQ28" s="364"/>
      <c r="OR28" s="361"/>
      <c r="OS28" s="361"/>
      <c r="OT28" s="361">
        <v>34</v>
      </c>
      <c r="OU28" s="361"/>
      <c r="OV28" s="362"/>
      <c r="OW28" s="363"/>
      <c r="OX28" s="187"/>
      <c r="OY28" s="187"/>
      <c r="OZ28" s="188">
        <f t="shared" si="36"/>
        <v>34</v>
      </c>
      <c r="PA28" s="364"/>
      <c r="PB28" s="361"/>
      <c r="PC28" s="361"/>
      <c r="PD28" s="361">
        <v>23</v>
      </c>
      <c r="PE28" s="507"/>
      <c r="PF28" s="362"/>
      <c r="PG28" s="363"/>
      <c r="PH28" s="187"/>
      <c r="PI28" s="187"/>
      <c r="PJ28" s="188">
        <f t="shared" si="37"/>
        <v>23</v>
      </c>
      <c r="PK28" s="99">
        <f t="shared" si="38"/>
        <v>0</v>
      </c>
      <c r="PL28" s="197">
        <f t="shared" si="39"/>
        <v>147</v>
      </c>
      <c r="PM28" s="367">
        <v>100</v>
      </c>
      <c r="PN28" s="197">
        <f t="shared" si="92"/>
        <v>47</v>
      </c>
      <c r="PO28" s="198">
        <f t="shared" si="109"/>
        <v>1.47</v>
      </c>
      <c r="PP28" s="193"/>
      <c r="PQ28" s="194" t="s">
        <v>69</v>
      </c>
      <c r="PR28" s="360"/>
      <c r="PS28" s="361"/>
      <c r="PT28" s="361"/>
      <c r="PU28" s="361">
        <v>38</v>
      </c>
      <c r="PV28" s="361"/>
      <c r="PW28" s="362"/>
      <c r="PX28" s="363"/>
      <c r="PY28" s="187"/>
      <c r="PZ28" s="187"/>
      <c r="QA28" s="188">
        <f t="shared" si="115"/>
        <v>38</v>
      </c>
      <c r="QB28" s="364"/>
      <c r="QC28" s="361"/>
      <c r="QD28" s="361"/>
      <c r="QE28" s="361">
        <v>38</v>
      </c>
      <c r="QF28" s="361"/>
      <c r="QG28" s="362"/>
      <c r="QH28" s="363"/>
      <c r="QI28" s="187"/>
      <c r="QJ28" s="187"/>
      <c r="QK28" s="188">
        <f t="shared" si="128"/>
        <v>38</v>
      </c>
      <c r="QL28" s="358"/>
      <c r="QM28" s="200"/>
      <c r="QN28" s="200"/>
      <c r="QO28" s="200">
        <v>26</v>
      </c>
      <c r="QP28" s="200"/>
      <c r="QQ28" s="325"/>
      <c r="QR28" s="201"/>
      <c r="QS28" s="134"/>
      <c r="QT28" s="134"/>
      <c r="QU28" s="204">
        <f t="shared" si="42"/>
        <v>26</v>
      </c>
      <c r="QV28" s="358"/>
      <c r="QW28" s="200"/>
      <c r="QX28" s="200"/>
      <c r="QY28" s="200">
        <v>21</v>
      </c>
      <c r="QZ28" s="200"/>
      <c r="RA28" s="325"/>
      <c r="RB28" s="201"/>
      <c r="RC28" s="134"/>
      <c r="RD28" s="134"/>
      <c r="RE28" s="204">
        <f t="shared" si="43"/>
        <v>21</v>
      </c>
      <c r="RF28" s="358"/>
      <c r="RG28" s="200"/>
      <c r="RH28" s="200"/>
      <c r="RI28" s="200">
        <v>75</v>
      </c>
      <c r="RJ28" s="502"/>
      <c r="RK28" s="325"/>
      <c r="RL28" s="201"/>
      <c r="RM28" s="134">
        <v>1</v>
      </c>
      <c r="RN28" s="134"/>
      <c r="RO28" s="204">
        <f t="shared" si="44"/>
        <v>75</v>
      </c>
      <c r="RP28" s="121">
        <f t="shared" si="93"/>
        <v>1</v>
      </c>
      <c r="RQ28" s="152">
        <f t="shared" si="45"/>
        <v>198</v>
      </c>
      <c r="RR28" s="226">
        <v>100</v>
      </c>
      <c r="RS28" s="152">
        <f t="shared" si="94"/>
        <v>98</v>
      </c>
      <c r="RT28" s="205">
        <f t="shared" si="110"/>
        <v>1.98</v>
      </c>
      <c r="RU28" s="206"/>
      <c r="RV28" s="123">
        <f t="shared" si="136"/>
        <v>134</v>
      </c>
      <c r="RW28" s="207">
        <f t="shared" si="136"/>
        <v>444</v>
      </c>
      <c r="RX28" s="207">
        <f t="shared" si="136"/>
        <v>400</v>
      </c>
      <c r="RY28" s="208">
        <f t="shared" si="96"/>
        <v>1.1100000000000001</v>
      </c>
      <c r="SA28" s="165" t="s">
        <v>69</v>
      </c>
      <c r="SB28" s="370"/>
      <c r="SC28" s="361"/>
      <c r="SD28" s="361"/>
      <c r="SE28" s="361"/>
      <c r="SF28" s="361"/>
      <c r="SG28" s="362"/>
      <c r="SH28" s="371"/>
      <c r="SI28" s="187"/>
      <c r="SJ28" s="187"/>
      <c r="SK28" s="131">
        <f t="shared" si="116"/>
        <v>0</v>
      </c>
      <c r="SL28" s="327"/>
      <c r="SM28" s="200"/>
      <c r="SN28" s="200"/>
      <c r="SO28" s="200"/>
      <c r="SP28" s="200"/>
      <c r="SQ28" s="325"/>
      <c r="SR28" s="326"/>
      <c r="SS28" s="134"/>
      <c r="ST28" s="134"/>
      <c r="SU28" s="131">
        <f t="shared" si="129"/>
        <v>0</v>
      </c>
      <c r="SV28" s="327"/>
      <c r="SW28" s="200"/>
      <c r="SX28" s="200"/>
      <c r="SY28" s="200"/>
      <c r="SZ28" s="200">
        <v>1</v>
      </c>
      <c r="TA28" s="325"/>
      <c r="TB28" s="326"/>
      <c r="TC28" s="134"/>
      <c r="TD28" s="134"/>
      <c r="TE28" s="131">
        <f t="shared" si="117"/>
        <v>1</v>
      </c>
      <c r="TF28" s="327"/>
      <c r="TG28" s="200"/>
      <c r="TH28" s="200"/>
      <c r="TI28" s="200"/>
      <c r="TJ28" s="200">
        <v>9</v>
      </c>
      <c r="TK28" s="325"/>
      <c r="TL28" s="326"/>
      <c r="TM28" s="134"/>
      <c r="TN28" s="134"/>
      <c r="TO28" s="131">
        <f t="shared" si="49"/>
        <v>9</v>
      </c>
      <c r="TP28" s="327"/>
      <c r="TQ28" s="200"/>
      <c r="TR28" s="200"/>
      <c r="TS28" s="200"/>
      <c r="TT28" s="502"/>
      <c r="TU28" s="325"/>
      <c r="TV28" s="326"/>
      <c r="TW28" s="134"/>
      <c r="TX28" s="134"/>
      <c r="TY28" s="136">
        <f t="shared" si="50"/>
        <v>0</v>
      </c>
      <c r="TZ28" s="209">
        <f t="shared" si="137"/>
        <v>0</v>
      </c>
      <c r="UA28" s="210">
        <f t="shared" si="137"/>
        <v>10</v>
      </c>
      <c r="UB28" s="210">
        <v>20</v>
      </c>
      <c r="UC28" s="211">
        <f t="shared" si="51"/>
        <v>0.5</v>
      </c>
      <c r="UD28" s="140"/>
      <c r="UE28" s="212" t="s">
        <v>69</v>
      </c>
      <c r="UF28" s="370"/>
      <c r="UG28" s="361"/>
      <c r="UH28" s="361"/>
      <c r="UI28" s="361"/>
      <c r="UJ28" s="361">
        <v>4</v>
      </c>
      <c r="UK28" s="362"/>
      <c r="UL28" s="371"/>
      <c r="UM28" s="187"/>
      <c r="UN28" s="187"/>
      <c r="UO28" s="215">
        <f t="shared" si="118"/>
        <v>4</v>
      </c>
      <c r="UP28" s="360"/>
      <c r="UQ28" s="361"/>
      <c r="UR28" s="361"/>
      <c r="US28" s="361"/>
      <c r="UT28" s="361">
        <v>3</v>
      </c>
      <c r="UU28" s="362"/>
      <c r="UV28" s="371"/>
      <c r="UW28" s="187"/>
      <c r="UX28" s="187"/>
      <c r="UY28" s="215">
        <f t="shared" si="130"/>
        <v>3</v>
      </c>
      <c r="UZ28" s="360"/>
      <c r="VA28" s="361"/>
      <c r="VB28" s="361"/>
      <c r="VC28" s="361"/>
      <c r="VD28" s="361">
        <v>4</v>
      </c>
      <c r="VE28" s="362"/>
      <c r="VF28" s="371"/>
      <c r="VG28" s="187"/>
      <c r="VH28" s="187"/>
      <c r="VI28" s="215">
        <f t="shared" si="119"/>
        <v>4</v>
      </c>
      <c r="VJ28" s="360"/>
      <c r="VK28" s="361"/>
      <c r="VL28" s="361"/>
      <c r="VM28" s="361">
        <v>7</v>
      </c>
      <c r="VN28" s="361"/>
      <c r="VO28" s="362"/>
      <c r="VP28" s="371"/>
      <c r="VQ28" s="187"/>
      <c r="VR28" s="187"/>
      <c r="VS28" s="215">
        <f t="shared" si="55"/>
        <v>7</v>
      </c>
      <c r="VT28" s="360"/>
      <c r="VU28" s="361"/>
      <c r="VV28" s="361"/>
      <c r="VW28" s="361"/>
      <c r="VX28" s="503">
        <v>6</v>
      </c>
      <c r="VY28" s="362"/>
      <c r="VZ28" s="371"/>
      <c r="WA28" s="187"/>
      <c r="WB28" s="187"/>
      <c r="WC28" s="215">
        <f t="shared" si="56"/>
        <v>6</v>
      </c>
      <c r="WD28" s="216">
        <f t="shared" si="138"/>
        <v>0</v>
      </c>
      <c r="WE28" s="217">
        <f t="shared" si="138"/>
        <v>24</v>
      </c>
      <c r="WF28" s="217">
        <v>100</v>
      </c>
      <c r="WG28" s="218">
        <f t="shared" si="57"/>
        <v>0.24</v>
      </c>
      <c r="WH28" s="219"/>
      <c r="WI28" s="220" t="s">
        <v>69</v>
      </c>
      <c r="WJ28" s="324"/>
      <c r="WK28" s="200"/>
      <c r="WL28" s="200"/>
      <c r="WM28" s="200"/>
      <c r="WN28" s="200">
        <v>9</v>
      </c>
      <c r="WO28" s="325"/>
      <c r="WP28" s="326"/>
      <c r="WQ28" s="134"/>
      <c r="WR28" s="134"/>
      <c r="WS28" s="131">
        <f t="shared" si="58"/>
        <v>9</v>
      </c>
      <c r="WT28" s="327"/>
      <c r="WU28" s="200"/>
      <c r="WV28" s="200"/>
      <c r="WW28" s="200"/>
      <c r="WX28" s="200">
        <v>6</v>
      </c>
      <c r="WY28" s="325"/>
      <c r="WZ28" s="326"/>
      <c r="XA28" s="134"/>
      <c r="XB28" s="134"/>
      <c r="XC28" s="131">
        <f t="shared" si="131"/>
        <v>6</v>
      </c>
      <c r="XD28" s="327"/>
      <c r="XE28" s="200"/>
      <c r="XF28" s="200"/>
      <c r="XG28" s="200"/>
      <c r="XH28" s="200">
        <v>6</v>
      </c>
      <c r="XI28" s="325"/>
      <c r="XJ28" s="326"/>
      <c r="XK28" s="134"/>
      <c r="XL28" s="134"/>
      <c r="XM28" s="131">
        <f t="shared" si="120"/>
        <v>6</v>
      </c>
      <c r="XN28" s="327"/>
      <c r="XO28" s="200"/>
      <c r="XP28" s="200"/>
      <c r="XQ28" s="200"/>
      <c r="XR28" s="200">
        <v>14</v>
      </c>
      <c r="XS28" s="325"/>
      <c r="XT28" s="326"/>
      <c r="XU28" s="134"/>
      <c r="XV28" s="134"/>
      <c r="XW28" s="131">
        <f t="shared" si="61"/>
        <v>14</v>
      </c>
      <c r="XX28" s="327"/>
      <c r="XY28" s="200"/>
      <c r="XZ28" s="200"/>
      <c r="YA28" s="200"/>
      <c r="YB28" s="504"/>
      <c r="YC28" s="325"/>
      <c r="YD28" s="326"/>
      <c r="YE28" s="134"/>
      <c r="YF28" s="134"/>
      <c r="YG28" s="131">
        <f t="shared" si="62"/>
        <v>0</v>
      </c>
      <c r="YH28" s="221">
        <f t="shared" si="139"/>
        <v>0</v>
      </c>
      <c r="YI28" s="148">
        <f t="shared" si="139"/>
        <v>35</v>
      </c>
      <c r="YJ28" s="222">
        <v>100</v>
      </c>
      <c r="YK28" s="223">
        <f>+YI28/YJ28</f>
        <v>0.35</v>
      </c>
      <c r="YL28" s="224"/>
      <c r="YM28" s="372"/>
      <c r="YN28" s="361"/>
      <c r="YO28" s="361"/>
      <c r="YP28" s="361"/>
      <c r="YQ28" s="361">
        <v>8</v>
      </c>
      <c r="YR28" s="362"/>
      <c r="YS28" s="371"/>
      <c r="YT28" s="371"/>
      <c r="YU28" s="187"/>
      <c r="YV28" s="131">
        <f t="shared" si="121"/>
        <v>8</v>
      </c>
      <c r="YW28" s="327"/>
      <c r="YX28" s="200"/>
      <c r="YY28" s="200"/>
      <c r="YZ28" s="200"/>
      <c r="ZA28" s="200">
        <v>3</v>
      </c>
      <c r="ZB28" s="325"/>
      <c r="ZC28" s="326"/>
      <c r="ZD28" s="134">
        <v>2</v>
      </c>
      <c r="ZE28" s="134"/>
      <c r="ZF28" s="131">
        <f t="shared" si="132"/>
        <v>3</v>
      </c>
      <c r="ZG28" s="327"/>
      <c r="ZH28" s="200"/>
      <c r="ZI28" s="200"/>
      <c r="ZJ28" s="200">
        <v>3</v>
      </c>
      <c r="ZK28" s="200">
        <v>7</v>
      </c>
      <c r="ZL28" s="325"/>
      <c r="ZM28" s="326"/>
      <c r="ZN28" s="134"/>
      <c r="ZO28" s="134"/>
      <c r="ZP28" s="131">
        <f t="shared" si="122"/>
        <v>10</v>
      </c>
      <c r="ZQ28" s="327"/>
      <c r="ZR28" s="200"/>
      <c r="ZS28" s="200"/>
      <c r="ZT28" s="200">
        <v>3</v>
      </c>
      <c r="ZU28" s="200">
        <v>6</v>
      </c>
      <c r="ZV28" s="325"/>
      <c r="ZW28" s="326"/>
      <c r="ZX28" s="134"/>
      <c r="ZY28" s="134"/>
      <c r="ZZ28" s="131">
        <f t="shared" si="67"/>
        <v>9</v>
      </c>
      <c r="AAA28" s="327"/>
      <c r="AAB28" s="200"/>
      <c r="AAC28" s="200"/>
      <c r="AAD28" s="200"/>
      <c r="AAE28" s="502"/>
      <c r="AAF28" s="325"/>
      <c r="AAG28" s="326"/>
      <c r="AAH28" s="134"/>
      <c r="AAI28" s="134"/>
      <c r="AAJ28" s="131">
        <f t="shared" si="68"/>
        <v>0</v>
      </c>
      <c r="AAK28" s="226">
        <f t="shared" si="69"/>
        <v>30</v>
      </c>
      <c r="AAL28" s="226">
        <v>100</v>
      </c>
      <c r="AAM28" s="227">
        <f t="shared" si="70"/>
        <v>0.3</v>
      </c>
      <c r="AAN28" s="373" t="s">
        <v>69</v>
      </c>
      <c r="AAO28" s="324"/>
      <c r="AAP28" s="200"/>
      <c r="AAQ28" s="200"/>
      <c r="AAR28" s="200"/>
      <c r="AAS28" s="200"/>
      <c r="AAT28" s="325"/>
      <c r="AAU28" s="326"/>
      <c r="AAV28" s="134"/>
      <c r="AAW28" s="134"/>
      <c r="AAX28" s="155"/>
      <c r="AAY28" s="131">
        <f t="shared" si="123"/>
        <v>0</v>
      </c>
      <c r="AAZ28" s="327"/>
      <c r="ABA28" s="200"/>
      <c r="ABB28" s="200"/>
      <c r="ABC28" s="200"/>
      <c r="ABD28" s="200">
        <v>19</v>
      </c>
      <c r="ABE28" s="325"/>
      <c r="ABF28" s="326"/>
      <c r="ABG28" s="134">
        <v>2</v>
      </c>
      <c r="ABH28" s="134"/>
      <c r="ABI28" s="131">
        <f t="shared" si="71"/>
        <v>19</v>
      </c>
      <c r="ABJ28" s="327"/>
      <c r="ABK28" s="200"/>
      <c r="ABL28" s="200"/>
      <c r="ABM28" s="200"/>
      <c r="ABN28" s="200">
        <v>10</v>
      </c>
      <c r="ABO28" s="325"/>
      <c r="ABP28" s="326"/>
      <c r="ABQ28" s="134">
        <v>6</v>
      </c>
      <c r="ABR28" s="134"/>
      <c r="ABS28" s="131">
        <f t="shared" si="124"/>
        <v>10</v>
      </c>
      <c r="ABT28" s="327"/>
      <c r="ABU28" s="200"/>
      <c r="ABV28" s="200"/>
      <c r="ABW28" s="200"/>
      <c r="ABX28" s="200">
        <v>3</v>
      </c>
      <c r="ABY28" s="325"/>
      <c r="ABZ28" s="326"/>
      <c r="ACA28" s="134">
        <v>1</v>
      </c>
      <c r="ACB28" s="134"/>
      <c r="ACC28" s="131">
        <f t="shared" si="73"/>
        <v>3</v>
      </c>
      <c r="ACD28" s="327"/>
      <c r="ACE28" s="200"/>
      <c r="ACF28" s="200"/>
      <c r="ACG28" s="200">
        <v>2</v>
      </c>
      <c r="ACH28" s="504">
        <v>4</v>
      </c>
      <c r="ACI28" s="325"/>
      <c r="ACJ28" s="326"/>
      <c r="ACK28" s="134"/>
      <c r="ACL28" s="134"/>
      <c r="ACM28" s="131">
        <f t="shared" si="74"/>
        <v>6</v>
      </c>
      <c r="ACN28" s="156">
        <f t="shared" si="75"/>
        <v>0</v>
      </c>
      <c r="ACO28" s="157"/>
      <c r="ACP28" s="229">
        <f t="shared" si="100"/>
        <v>38</v>
      </c>
      <c r="ACQ28" s="229">
        <v>75</v>
      </c>
      <c r="ACR28" s="230">
        <f t="shared" si="101"/>
        <v>0.50666666666666671</v>
      </c>
      <c r="ACS28" s="231">
        <f t="shared" si="76"/>
        <v>137</v>
      </c>
      <c r="ACT28" s="207">
        <f t="shared" si="76"/>
        <v>395</v>
      </c>
      <c r="ACU28" s="323">
        <f t="shared" si="102"/>
        <v>0.3468354430379747</v>
      </c>
      <c r="ACW28" s="330">
        <f t="shared" si="103"/>
        <v>0.65820440693858417</v>
      </c>
      <c r="ACX28" s="331">
        <v>6</v>
      </c>
    </row>
    <row r="29" spans="1:778" s="102" customFormat="1" x14ac:dyDescent="0.35">
      <c r="A29" s="51" t="s">
        <v>46</v>
      </c>
      <c r="B29" s="165" t="s">
        <v>91</v>
      </c>
      <c r="C29" s="332"/>
      <c r="D29" s="333"/>
      <c r="E29" s="333"/>
      <c r="F29" s="333"/>
      <c r="G29" s="333"/>
      <c r="H29" s="334"/>
      <c r="I29" s="335"/>
      <c r="J29" s="72"/>
      <c r="K29" s="80">
        <f t="shared" si="0"/>
        <v>0</v>
      </c>
      <c r="L29" s="336"/>
      <c r="M29" s="333"/>
      <c r="N29" s="333"/>
      <c r="O29" s="333"/>
      <c r="P29" s="333"/>
      <c r="Q29" s="334"/>
      <c r="R29" s="335"/>
      <c r="S29" s="72"/>
      <c r="T29" s="58">
        <f t="shared" si="1"/>
        <v>0</v>
      </c>
      <c r="U29" s="314"/>
      <c r="V29" s="315"/>
      <c r="W29" s="315"/>
      <c r="X29" s="315"/>
      <c r="Y29" s="315"/>
      <c r="Z29" s="316"/>
      <c r="AA29" s="317"/>
      <c r="AB29" s="66"/>
      <c r="AC29" s="67">
        <f t="shared" si="2"/>
        <v>0</v>
      </c>
      <c r="AD29" s="319"/>
      <c r="AE29" s="308"/>
      <c r="AF29" s="308"/>
      <c r="AG29" s="308"/>
      <c r="AH29" s="308">
        <f>38+18</f>
        <v>56</v>
      </c>
      <c r="AI29" s="309"/>
      <c r="AJ29" s="310"/>
      <c r="AK29" s="57"/>
      <c r="AL29" s="88">
        <f t="shared" si="3"/>
        <v>56</v>
      </c>
      <c r="AM29" s="319"/>
      <c r="AN29" s="308"/>
      <c r="AO29" s="308"/>
      <c r="AP29" s="308"/>
      <c r="AQ29" s="501">
        <v>48</v>
      </c>
      <c r="AR29" s="377"/>
      <c r="AS29" s="310"/>
      <c r="AT29" s="57"/>
      <c r="AU29" s="58">
        <f t="shared" si="4"/>
        <v>48</v>
      </c>
      <c r="AV29" s="508">
        <v>143</v>
      </c>
      <c r="AW29" s="348">
        <f t="shared" si="77"/>
        <v>104</v>
      </c>
      <c r="AX29" s="348">
        <v>100</v>
      </c>
      <c r="AY29" s="172">
        <f t="shared" si="5"/>
        <v>1.04</v>
      </c>
      <c r="AZ29" s="84"/>
      <c r="BA29" s="307"/>
      <c r="BB29" s="308"/>
      <c r="BC29" s="308"/>
      <c r="BD29" s="308"/>
      <c r="BE29" s="308">
        <v>45</v>
      </c>
      <c r="BF29" s="309"/>
      <c r="BG29" s="310"/>
      <c r="BH29" s="57"/>
      <c r="BI29" s="86">
        <f t="shared" si="6"/>
        <v>45</v>
      </c>
      <c r="BJ29" s="318"/>
      <c r="BK29" s="308"/>
      <c r="BL29" s="308"/>
      <c r="BM29" s="308"/>
      <c r="BN29" s="308">
        <v>51</v>
      </c>
      <c r="BO29" s="309"/>
      <c r="BP29" s="310"/>
      <c r="BQ29" s="57"/>
      <c r="BR29" s="58">
        <f t="shared" si="7"/>
        <v>51</v>
      </c>
      <c r="BS29" s="319"/>
      <c r="BT29" s="308"/>
      <c r="BU29" s="308"/>
      <c r="BV29" s="308"/>
      <c r="BW29" s="308">
        <v>28</v>
      </c>
      <c r="BX29" s="309"/>
      <c r="BY29" s="310"/>
      <c r="BZ29" s="57"/>
      <c r="CA29" s="58">
        <f>+BX29+BW29+BV29+BU29+BT29+BS29</f>
        <v>28</v>
      </c>
      <c r="CB29" s="319"/>
      <c r="CC29" s="308"/>
      <c r="CD29" s="308"/>
      <c r="CE29" s="308"/>
      <c r="CF29" s="308">
        <v>24</v>
      </c>
      <c r="CG29" s="309"/>
      <c r="CH29" s="310"/>
      <c r="CI29" s="57"/>
      <c r="CJ29" s="88">
        <f>+CG29+CF29+CE29+CD29+CC29+CB29</f>
        <v>24</v>
      </c>
      <c r="CK29" s="319"/>
      <c r="CL29" s="308"/>
      <c r="CM29" s="308"/>
      <c r="CN29" s="308"/>
      <c r="CO29" s="501">
        <v>45</v>
      </c>
      <c r="CP29" s="377"/>
      <c r="CQ29" s="310"/>
      <c r="CR29" s="57"/>
      <c r="CS29" s="91">
        <f t="shared" si="78"/>
        <v>45</v>
      </c>
      <c r="CT29" s="92">
        <v>206</v>
      </c>
      <c r="CU29" s="93">
        <f t="shared" si="79"/>
        <v>193</v>
      </c>
      <c r="CV29" s="509">
        <v>250</v>
      </c>
      <c r="CW29" s="510">
        <f t="shared" si="8"/>
        <v>0.77200000000000002</v>
      </c>
      <c r="CX29" s="95"/>
      <c r="CY29" s="307"/>
      <c r="CZ29" s="308"/>
      <c r="DA29" s="308"/>
      <c r="DB29" s="308"/>
      <c r="DC29" s="308">
        <v>43</v>
      </c>
      <c r="DD29" s="309"/>
      <c r="DE29" s="310"/>
      <c r="DF29" s="57"/>
      <c r="DG29" s="58">
        <f t="shared" si="9"/>
        <v>43</v>
      </c>
      <c r="DH29" s="319"/>
      <c r="DI29" s="308"/>
      <c r="DJ29" s="308"/>
      <c r="DK29" s="308"/>
      <c r="DL29" s="308">
        <f>15+15+9</f>
        <v>39</v>
      </c>
      <c r="DM29" s="309"/>
      <c r="DN29" s="310"/>
      <c r="DO29" s="57"/>
      <c r="DP29" s="58">
        <f t="shared" si="10"/>
        <v>39</v>
      </c>
      <c r="DQ29" s="319"/>
      <c r="DR29" s="308"/>
      <c r="DS29" s="308"/>
      <c r="DT29" s="308"/>
      <c r="DU29" s="308">
        <f>11+24+9+9</f>
        <v>53</v>
      </c>
      <c r="DV29" s="309"/>
      <c r="DW29" s="310"/>
      <c r="DX29" s="57"/>
      <c r="DY29" s="58">
        <f t="shared" si="80"/>
        <v>53</v>
      </c>
      <c r="DZ29" s="319"/>
      <c r="EA29" s="308"/>
      <c r="EB29" s="308"/>
      <c r="EC29" s="308"/>
      <c r="ED29" s="308">
        <v>7</v>
      </c>
      <c r="EE29" s="309"/>
      <c r="EF29" s="310"/>
      <c r="EG29" s="57"/>
      <c r="EH29" s="96">
        <f t="shared" si="81"/>
        <v>7</v>
      </c>
      <c r="EI29" s="379"/>
      <c r="EJ29" s="308"/>
      <c r="EK29" s="308"/>
      <c r="EL29" s="308"/>
      <c r="EM29" s="501">
        <v>56</v>
      </c>
      <c r="EN29" s="377"/>
      <c r="EO29" s="310"/>
      <c r="EP29" s="57"/>
      <c r="EQ29" s="98">
        <f t="shared" si="82"/>
        <v>56</v>
      </c>
      <c r="ER29" s="511">
        <v>302</v>
      </c>
      <c r="ES29" s="512">
        <f t="shared" si="111"/>
        <v>198</v>
      </c>
      <c r="ET29" s="513">
        <v>250</v>
      </c>
      <c r="EU29" s="514">
        <f t="shared" si="11"/>
        <v>0.79200000000000004</v>
      </c>
      <c r="EW29" s="307"/>
      <c r="EX29" s="308"/>
      <c r="EY29" s="308"/>
      <c r="EZ29" s="308"/>
      <c r="FA29" s="308">
        <v>50</v>
      </c>
      <c r="FB29" s="309"/>
      <c r="FC29" s="310"/>
      <c r="FD29" s="57"/>
      <c r="FE29" s="58">
        <f t="shared" si="12"/>
        <v>50</v>
      </c>
      <c r="FF29" s="319"/>
      <c r="FG29" s="308"/>
      <c r="FH29" s="308"/>
      <c r="FI29" s="308"/>
      <c r="FJ29" s="308">
        <v>51</v>
      </c>
      <c r="FK29" s="309"/>
      <c r="FL29" s="310"/>
      <c r="FM29" s="57"/>
      <c r="FN29" s="58">
        <f t="shared" si="13"/>
        <v>51</v>
      </c>
      <c r="FO29" s="319"/>
      <c r="FP29" s="308"/>
      <c r="FQ29" s="308"/>
      <c r="FR29" s="308"/>
      <c r="FS29" s="308">
        <v>20</v>
      </c>
      <c r="FT29" s="309"/>
      <c r="FU29" s="310"/>
      <c r="FV29" s="57"/>
      <c r="FW29" s="58">
        <f t="shared" si="83"/>
        <v>20</v>
      </c>
      <c r="FX29" s="319"/>
      <c r="FY29" s="308"/>
      <c r="FZ29" s="308"/>
      <c r="GA29" s="308"/>
      <c r="GB29" s="308">
        <v>29</v>
      </c>
      <c r="GC29" s="309"/>
      <c r="GD29" s="310"/>
      <c r="GE29" s="57"/>
      <c r="GF29" s="58">
        <f t="shared" si="84"/>
        <v>29</v>
      </c>
      <c r="GG29" s="319"/>
      <c r="GH29" s="308"/>
      <c r="GI29" s="308"/>
      <c r="GJ29" s="308"/>
      <c r="GK29" s="501">
        <v>50</v>
      </c>
      <c r="GL29" s="377"/>
      <c r="GM29" s="310"/>
      <c r="GN29" s="57"/>
      <c r="GO29" s="58">
        <f t="shared" si="85"/>
        <v>50</v>
      </c>
      <c r="GP29" s="515">
        <v>277</v>
      </c>
      <c r="GQ29" s="516">
        <f t="shared" si="135"/>
        <v>200</v>
      </c>
      <c r="GR29" s="516">
        <v>250</v>
      </c>
      <c r="GS29" s="517">
        <f t="shared" si="14"/>
        <v>0.8</v>
      </c>
      <c r="GT29" s="384"/>
      <c r="GU29" s="339"/>
      <c r="GV29" s="339"/>
      <c r="GW29" s="339"/>
      <c r="GX29" s="339"/>
      <c r="GY29" s="340"/>
      <c r="GZ29" s="310"/>
      <c r="HA29" s="57"/>
      <c r="HB29" s="57"/>
      <c r="HC29" s="58">
        <f t="shared" si="15"/>
        <v>0</v>
      </c>
      <c r="HD29" s="338"/>
      <c r="HE29" s="339"/>
      <c r="HF29" s="339"/>
      <c r="HG29" s="339"/>
      <c r="HH29" s="339"/>
      <c r="HI29" s="340"/>
      <c r="HJ29" s="310"/>
      <c r="HK29" s="57"/>
      <c r="HL29" s="57"/>
      <c r="HM29" s="58">
        <f t="shared" si="16"/>
        <v>0</v>
      </c>
      <c r="HN29" s="311"/>
      <c r="HO29" s="312"/>
      <c r="HP29" s="312"/>
      <c r="HQ29" s="312"/>
      <c r="HR29" s="312"/>
      <c r="HS29" s="313"/>
      <c r="HT29" s="310"/>
      <c r="HU29" s="57"/>
      <c r="HV29" s="57"/>
      <c r="HW29" s="58">
        <f t="shared" si="17"/>
        <v>0</v>
      </c>
      <c r="HX29" s="319"/>
      <c r="HY29" s="308"/>
      <c r="HZ29" s="308"/>
      <c r="IA29" s="308"/>
      <c r="IB29" s="308"/>
      <c r="IC29" s="309"/>
      <c r="ID29" s="310"/>
      <c r="IE29" s="57"/>
      <c r="IF29" s="57"/>
      <c r="IG29" s="88">
        <f t="shared" si="18"/>
        <v>0</v>
      </c>
      <c r="IH29" s="338"/>
      <c r="II29" s="339"/>
      <c r="IJ29" s="339"/>
      <c r="IK29" s="339"/>
      <c r="IL29" s="505"/>
      <c r="IM29" s="341"/>
      <c r="IN29" s="310"/>
      <c r="IO29" s="57"/>
      <c r="IP29" s="57"/>
      <c r="IQ29" s="58">
        <f t="shared" si="19"/>
        <v>0</v>
      </c>
      <c r="IR29" s="106"/>
      <c r="IS29" s="518"/>
      <c r="IT29" s="518"/>
      <c r="IU29" s="519"/>
      <c r="IV29" s="95"/>
      <c r="IW29" s="520">
        <f t="shared" si="87"/>
        <v>928</v>
      </c>
      <c r="IX29" s="521">
        <f t="shared" si="87"/>
        <v>695</v>
      </c>
      <c r="IY29" s="521">
        <f t="shared" si="87"/>
        <v>850</v>
      </c>
      <c r="IZ29" s="522">
        <f t="shared" si="20"/>
        <v>0.81764705882352939</v>
      </c>
      <c r="JB29" s="182" t="s">
        <v>70</v>
      </c>
      <c r="JC29" s="318"/>
      <c r="JD29" s="308"/>
      <c r="JE29" s="308"/>
      <c r="JF29" s="308"/>
      <c r="JG29" s="308">
        <v>30</v>
      </c>
      <c r="JH29" s="309"/>
      <c r="JI29" s="310"/>
      <c r="JJ29" s="57">
        <v>1</v>
      </c>
      <c r="JK29" s="57"/>
      <c r="JL29" s="58">
        <f t="shared" si="112"/>
        <v>30</v>
      </c>
      <c r="JM29" s="319"/>
      <c r="JN29" s="308"/>
      <c r="JO29" s="308"/>
      <c r="JP29" s="308"/>
      <c r="JQ29" s="308">
        <v>33</v>
      </c>
      <c r="JR29" s="309"/>
      <c r="JS29" s="310"/>
      <c r="JT29" s="57">
        <v>1</v>
      </c>
      <c r="JU29" s="57"/>
      <c r="JV29" s="58">
        <f t="shared" si="125"/>
        <v>33</v>
      </c>
      <c r="JW29" s="319"/>
      <c r="JX29" s="308"/>
      <c r="JY29" s="308"/>
      <c r="JZ29" s="308">
        <v>42</v>
      </c>
      <c r="KA29" s="308"/>
      <c r="KB29" s="309"/>
      <c r="KC29" s="310"/>
      <c r="KD29" s="57"/>
      <c r="KE29" s="57"/>
      <c r="KF29" s="58">
        <f t="shared" si="23"/>
        <v>42</v>
      </c>
      <c r="KG29" s="319"/>
      <c r="KH29" s="308"/>
      <c r="KI29" s="308"/>
      <c r="KJ29" s="308"/>
      <c r="KK29" s="308">
        <v>22</v>
      </c>
      <c r="KL29" s="309"/>
      <c r="KM29" s="310"/>
      <c r="KN29" s="57">
        <v>1</v>
      </c>
      <c r="KO29" s="57"/>
      <c r="KP29" s="88">
        <f t="shared" si="24"/>
        <v>22</v>
      </c>
      <c r="KQ29" s="319"/>
      <c r="KR29" s="308"/>
      <c r="KS29" s="308"/>
      <c r="KT29" s="308"/>
      <c r="KU29" s="501">
        <v>25</v>
      </c>
      <c r="KV29" s="377"/>
      <c r="KW29" s="56"/>
      <c r="KX29" s="57">
        <v>138</v>
      </c>
      <c r="KY29" s="57"/>
      <c r="KZ29" s="58">
        <f t="shared" si="25"/>
        <v>25</v>
      </c>
      <c r="LA29" s="523">
        <f t="shared" si="107"/>
        <v>138</v>
      </c>
      <c r="LB29" s="524">
        <f t="shared" si="26"/>
        <v>152</v>
      </c>
      <c r="LC29" s="525">
        <v>250</v>
      </c>
      <c r="LD29" s="524">
        <f t="shared" si="88"/>
        <v>-98</v>
      </c>
      <c r="LE29" s="526">
        <f t="shared" si="89"/>
        <v>0.60799999999999998</v>
      </c>
      <c r="LF29" s="115"/>
      <c r="LG29" s="322" t="s">
        <v>70</v>
      </c>
      <c r="LH29" s="318"/>
      <c r="LI29" s="308"/>
      <c r="LJ29" s="308"/>
      <c r="LK29" s="308"/>
      <c r="LL29" s="308">
        <v>23</v>
      </c>
      <c r="LM29" s="309"/>
      <c r="LN29" s="310"/>
      <c r="LO29" s="57"/>
      <c r="LP29" s="57"/>
      <c r="LQ29" s="58">
        <f t="shared" si="113"/>
        <v>23</v>
      </c>
      <c r="LR29" s="319"/>
      <c r="LS29" s="308"/>
      <c r="LT29" s="308"/>
      <c r="LU29" s="308"/>
      <c r="LV29" s="308">
        <v>20</v>
      </c>
      <c r="LW29" s="309"/>
      <c r="LX29" s="310"/>
      <c r="LY29" s="57"/>
      <c r="LZ29" s="57"/>
      <c r="MA29" s="58">
        <f t="shared" si="126"/>
        <v>20</v>
      </c>
      <c r="MB29" s="319"/>
      <c r="MC29" s="308"/>
      <c r="MD29" s="308"/>
      <c r="ME29" s="308"/>
      <c r="MF29" s="308">
        <v>42</v>
      </c>
      <c r="MG29" s="309"/>
      <c r="MH29" s="310"/>
      <c r="MI29" s="57"/>
      <c r="MJ29" s="57"/>
      <c r="MK29" s="58">
        <f t="shared" si="29"/>
        <v>42</v>
      </c>
      <c r="ML29" s="319"/>
      <c r="MM29" s="308"/>
      <c r="MN29" s="308">
        <v>52</v>
      </c>
      <c r="MO29" s="308"/>
      <c r="MP29" s="308"/>
      <c r="MQ29" s="309"/>
      <c r="MR29" s="310"/>
      <c r="MS29" s="57"/>
      <c r="MT29" s="57"/>
      <c r="MU29" s="88">
        <f t="shared" si="30"/>
        <v>52</v>
      </c>
      <c r="MV29" s="319"/>
      <c r="MW29" s="308"/>
      <c r="MX29" s="308"/>
      <c r="MY29" s="308"/>
      <c r="MZ29" s="501">
        <v>56</v>
      </c>
      <c r="NA29" s="377"/>
      <c r="NB29" s="310"/>
      <c r="NC29" s="57">
        <v>246</v>
      </c>
      <c r="ND29" s="57"/>
      <c r="NE29" s="58">
        <f t="shared" si="31"/>
        <v>56</v>
      </c>
      <c r="NF29" s="527">
        <f t="shared" si="90"/>
        <v>246</v>
      </c>
      <c r="NG29" s="509">
        <f t="shared" si="32"/>
        <v>193</v>
      </c>
      <c r="NH29" s="528">
        <v>250</v>
      </c>
      <c r="NI29" s="509">
        <f t="shared" si="91"/>
        <v>-57</v>
      </c>
      <c r="NJ29" s="529">
        <f t="shared" si="108"/>
        <v>0.77200000000000002</v>
      </c>
      <c r="NK29" s="119"/>
      <c r="NL29" s="322" t="s">
        <v>70</v>
      </c>
      <c r="NM29" s="318"/>
      <c r="NN29" s="308"/>
      <c r="NO29" s="308"/>
      <c r="NP29" s="308"/>
      <c r="NQ29" s="308">
        <v>36</v>
      </c>
      <c r="NR29" s="309"/>
      <c r="NS29" s="310"/>
      <c r="NT29" s="57"/>
      <c r="NU29" s="57"/>
      <c r="NV29" s="58">
        <f t="shared" si="114"/>
        <v>36</v>
      </c>
      <c r="NW29" s="319"/>
      <c r="NX29" s="308"/>
      <c r="NY29" s="308"/>
      <c r="NZ29" s="308"/>
      <c r="OA29" s="308">
        <v>58</v>
      </c>
      <c r="OB29" s="309"/>
      <c r="OC29" s="310"/>
      <c r="OD29" s="57"/>
      <c r="OE29" s="57"/>
      <c r="OF29" s="58">
        <f t="shared" si="127"/>
        <v>58</v>
      </c>
      <c r="OG29" s="319"/>
      <c r="OH29" s="308"/>
      <c r="OI29" s="308"/>
      <c r="OJ29" s="308"/>
      <c r="OK29" s="308">
        <v>33</v>
      </c>
      <c r="OL29" s="309"/>
      <c r="OM29" s="310"/>
      <c r="ON29" s="57"/>
      <c r="OO29" s="57"/>
      <c r="OP29" s="58">
        <f t="shared" si="35"/>
        <v>33</v>
      </c>
      <c r="OQ29" s="319"/>
      <c r="OR29" s="308"/>
      <c r="OS29" s="308"/>
      <c r="OT29" s="308"/>
      <c r="OU29" s="308">
        <v>44</v>
      </c>
      <c r="OV29" s="309"/>
      <c r="OW29" s="310"/>
      <c r="OX29" s="57"/>
      <c r="OY29" s="57"/>
      <c r="OZ29" s="88">
        <f t="shared" si="36"/>
        <v>44</v>
      </c>
      <c r="PA29" s="319"/>
      <c r="PB29" s="308"/>
      <c r="PC29" s="308"/>
      <c r="PD29" s="308"/>
      <c r="PE29" s="501">
        <v>28</v>
      </c>
      <c r="PF29" s="377"/>
      <c r="PG29" s="310"/>
      <c r="PH29" s="57"/>
      <c r="PI29" s="57"/>
      <c r="PJ29" s="58">
        <f t="shared" si="37"/>
        <v>28</v>
      </c>
      <c r="PK29" s="511">
        <f t="shared" si="38"/>
        <v>0</v>
      </c>
      <c r="PL29" s="512">
        <f t="shared" si="39"/>
        <v>199</v>
      </c>
      <c r="PM29" s="513">
        <v>250</v>
      </c>
      <c r="PN29" s="512">
        <f t="shared" si="92"/>
        <v>-51</v>
      </c>
      <c r="PO29" s="530">
        <f t="shared" si="109"/>
        <v>0.79600000000000004</v>
      </c>
      <c r="PP29" s="119"/>
      <c r="PQ29" s="322" t="s">
        <v>70</v>
      </c>
      <c r="PR29" s="318"/>
      <c r="PS29" s="308"/>
      <c r="PT29" s="308"/>
      <c r="PU29" s="308"/>
      <c r="PV29" s="308">
        <v>55</v>
      </c>
      <c r="PW29" s="309"/>
      <c r="PX29" s="310"/>
      <c r="PY29" s="57"/>
      <c r="PZ29" s="57"/>
      <c r="QA29" s="58">
        <f t="shared" si="115"/>
        <v>55</v>
      </c>
      <c r="QB29" s="319"/>
      <c r="QC29" s="308"/>
      <c r="QD29" s="308"/>
      <c r="QE29" s="308"/>
      <c r="QF29" s="308">
        <v>24</v>
      </c>
      <c r="QG29" s="309"/>
      <c r="QH29" s="310"/>
      <c r="QI29" s="57"/>
      <c r="QJ29" s="57"/>
      <c r="QK29" s="58">
        <f t="shared" si="128"/>
        <v>24</v>
      </c>
      <c r="QL29" s="319"/>
      <c r="QM29" s="308"/>
      <c r="QN29" s="308"/>
      <c r="QO29" s="308"/>
      <c r="QP29" s="308">
        <v>31</v>
      </c>
      <c r="QQ29" s="309"/>
      <c r="QR29" s="310"/>
      <c r="QS29" s="57"/>
      <c r="QT29" s="57"/>
      <c r="QU29" s="58">
        <f t="shared" si="42"/>
        <v>31</v>
      </c>
      <c r="QV29" s="319"/>
      <c r="QW29" s="308"/>
      <c r="QX29" s="308"/>
      <c r="QY29" s="308"/>
      <c r="QZ29" s="308">
        <v>32</v>
      </c>
      <c r="RA29" s="309"/>
      <c r="RB29" s="310"/>
      <c r="RC29" s="57"/>
      <c r="RD29" s="57"/>
      <c r="RE29" s="88">
        <f t="shared" si="43"/>
        <v>32</v>
      </c>
      <c r="RF29" s="319"/>
      <c r="RG29" s="308"/>
      <c r="RH29" s="308"/>
      <c r="RI29" s="308"/>
      <c r="RJ29" s="501"/>
      <c r="RK29" s="377"/>
      <c r="RL29" s="310"/>
      <c r="RM29" s="57">
        <v>164</v>
      </c>
      <c r="RN29" s="57"/>
      <c r="RO29" s="58">
        <f t="shared" si="44"/>
        <v>0</v>
      </c>
      <c r="RP29" s="531">
        <f t="shared" si="93"/>
        <v>164</v>
      </c>
      <c r="RQ29" s="516">
        <f t="shared" si="45"/>
        <v>142</v>
      </c>
      <c r="RR29" s="532">
        <v>250</v>
      </c>
      <c r="RS29" s="516">
        <f t="shared" si="94"/>
        <v>-108</v>
      </c>
      <c r="RT29" s="533">
        <f t="shared" si="110"/>
        <v>0.56799999999999995</v>
      </c>
      <c r="RV29" s="123">
        <f t="shared" si="136"/>
        <v>548</v>
      </c>
      <c r="RW29" s="124">
        <f t="shared" si="136"/>
        <v>686</v>
      </c>
      <c r="RX29" s="124">
        <f t="shared" si="136"/>
        <v>1000</v>
      </c>
      <c r="RY29" s="494">
        <f t="shared" si="96"/>
        <v>0.68600000000000005</v>
      </c>
      <c r="SA29" s="165" t="s">
        <v>70</v>
      </c>
      <c r="SB29" s="324"/>
      <c r="SC29" s="200"/>
      <c r="SD29" s="200"/>
      <c r="SE29" s="200"/>
      <c r="SF29" s="200">
        <v>30</v>
      </c>
      <c r="SG29" s="325"/>
      <c r="SH29" s="326"/>
      <c r="SI29" s="134">
        <v>8</v>
      </c>
      <c r="SJ29" s="134"/>
      <c r="SK29" s="131">
        <f t="shared" si="116"/>
        <v>30</v>
      </c>
      <c r="SL29" s="327"/>
      <c r="SM29" s="200"/>
      <c r="SN29" s="200"/>
      <c r="SO29" s="200"/>
      <c r="SP29" s="200">
        <v>27</v>
      </c>
      <c r="SQ29" s="325"/>
      <c r="SR29" s="326"/>
      <c r="SS29" s="134">
        <v>3</v>
      </c>
      <c r="ST29" s="134"/>
      <c r="SU29" s="131">
        <f t="shared" si="129"/>
        <v>27</v>
      </c>
      <c r="SV29" s="327"/>
      <c r="SW29" s="200"/>
      <c r="SX29" s="200"/>
      <c r="SY29" s="200"/>
      <c r="SZ29" s="200">
        <v>91</v>
      </c>
      <c r="TA29" s="325"/>
      <c r="TB29" s="326"/>
      <c r="TC29" s="134"/>
      <c r="TD29" s="134"/>
      <c r="TE29" s="131">
        <f t="shared" si="117"/>
        <v>91</v>
      </c>
      <c r="TF29" s="327"/>
      <c r="TG29" s="200"/>
      <c r="TH29" s="200"/>
      <c r="TI29" s="200"/>
      <c r="TJ29" s="200">
        <v>21</v>
      </c>
      <c r="TK29" s="325"/>
      <c r="TL29" s="326"/>
      <c r="TM29" s="134"/>
      <c r="TN29" s="134"/>
      <c r="TO29" s="131">
        <f t="shared" si="49"/>
        <v>21</v>
      </c>
      <c r="TP29" s="327"/>
      <c r="TQ29" s="200"/>
      <c r="TR29" s="200"/>
      <c r="TS29" s="200"/>
      <c r="TT29" s="502">
        <v>32</v>
      </c>
      <c r="TU29" s="325"/>
      <c r="TV29" s="326"/>
      <c r="TW29" s="134"/>
      <c r="TX29" s="134"/>
      <c r="TY29" s="136">
        <f t="shared" si="50"/>
        <v>32</v>
      </c>
      <c r="TZ29" s="209">
        <f t="shared" si="137"/>
        <v>0</v>
      </c>
      <c r="UA29" s="210">
        <f t="shared" si="137"/>
        <v>201</v>
      </c>
      <c r="UB29" s="210">
        <v>250</v>
      </c>
      <c r="UC29" s="211">
        <f t="shared" si="51"/>
        <v>0.80400000000000005</v>
      </c>
      <c r="UD29" s="140"/>
      <c r="UE29" s="220" t="s">
        <v>70</v>
      </c>
      <c r="UF29" s="324"/>
      <c r="UG29" s="200"/>
      <c r="UH29" s="200"/>
      <c r="UI29" s="200"/>
      <c r="UJ29" s="200">
        <v>30</v>
      </c>
      <c r="UK29" s="325"/>
      <c r="UL29" s="326"/>
      <c r="UM29" s="134">
        <v>8</v>
      </c>
      <c r="UN29" s="134"/>
      <c r="UO29" s="131">
        <f t="shared" si="118"/>
        <v>30</v>
      </c>
      <c r="UP29" s="327"/>
      <c r="UQ29" s="200"/>
      <c r="UR29" s="200"/>
      <c r="US29" s="200"/>
      <c r="UT29" s="200">
        <v>30</v>
      </c>
      <c r="UU29" s="325"/>
      <c r="UV29" s="326"/>
      <c r="UW29" s="134">
        <v>3</v>
      </c>
      <c r="UX29" s="134"/>
      <c r="UY29" s="131">
        <f t="shared" si="130"/>
        <v>30</v>
      </c>
      <c r="UZ29" s="327"/>
      <c r="VA29" s="200"/>
      <c r="VB29" s="200"/>
      <c r="VC29" s="200"/>
      <c r="VD29" s="200">
        <v>33</v>
      </c>
      <c r="VE29" s="325"/>
      <c r="VF29" s="326"/>
      <c r="VG29" s="134"/>
      <c r="VH29" s="134"/>
      <c r="VI29" s="131">
        <f t="shared" si="119"/>
        <v>33</v>
      </c>
      <c r="VJ29" s="327"/>
      <c r="VK29" s="200"/>
      <c r="VL29" s="200"/>
      <c r="VM29" s="200"/>
      <c r="VN29" s="200">
        <v>31</v>
      </c>
      <c r="VO29" s="325"/>
      <c r="VP29" s="326"/>
      <c r="VQ29" s="134"/>
      <c r="VR29" s="134"/>
      <c r="VS29" s="131">
        <f t="shared" si="55"/>
        <v>31</v>
      </c>
      <c r="VT29" s="327"/>
      <c r="VU29" s="200"/>
      <c r="VV29" s="200"/>
      <c r="VW29" s="200"/>
      <c r="VX29" s="504"/>
      <c r="VY29" s="325">
        <v>14</v>
      </c>
      <c r="VZ29" s="326"/>
      <c r="WA29" s="134"/>
      <c r="WB29" s="134"/>
      <c r="WC29" s="131">
        <f t="shared" si="56"/>
        <v>14</v>
      </c>
      <c r="WD29" s="216">
        <f t="shared" si="138"/>
        <v>0</v>
      </c>
      <c r="WE29" s="217">
        <f t="shared" si="138"/>
        <v>138</v>
      </c>
      <c r="WF29" s="217">
        <v>250</v>
      </c>
      <c r="WG29" s="218">
        <f t="shared" si="57"/>
        <v>0.55200000000000005</v>
      </c>
      <c r="WH29" s="146"/>
      <c r="WI29" s="220" t="s">
        <v>70</v>
      </c>
      <c r="WJ29" s="324"/>
      <c r="WK29" s="200"/>
      <c r="WL29" s="200"/>
      <c r="WM29" s="200">
        <v>69</v>
      </c>
      <c r="WN29" s="200"/>
      <c r="WO29" s="325"/>
      <c r="WP29" s="326"/>
      <c r="WQ29" s="134"/>
      <c r="WR29" s="134"/>
      <c r="WS29" s="131">
        <f t="shared" si="58"/>
        <v>69</v>
      </c>
      <c r="WT29" s="327"/>
      <c r="WU29" s="200"/>
      <c r="WV29" s="200"/>
      <c r="WW29" s="200">
        <v>41</v>
      </c>
      <c r="WX29" s="200">
        <v>7</v>
      </c>
      <c r="WY29" s="325"/>
      <c r="WZ29" s="326"/>
      <c r="XA29" s="134"/>
      <c r="XB29" s="134"/>
      <c r="XC29" s="131">
        <f t="shared" si="131"/>
        <v>48</v>
      </c>
      <c r="XD29" s="327"/>
      <c r="XE29" s="200"/>
      <c r="XF29" s="200"/>
      <c r="XG29" s="200">
        <v>83</v>
      </c>
      <c r="XH29" s="200">
        <v>9</v>
      </c>
      <c r="XI29" s="325"/>
      <c r="XJ29" s="326"/>
      <c r="XK29" s="134"/>
      <c r="XL29" s="134"/>
      <c r="XM29" s="131">
        <f t="shared" si="120"/>
        <v>92</v>
      </c>
      <c r="XN29" s="327"/>
      <c r="XO29" s="200"/>
      <c r="XP29" s="200"/>
      <c r="XQ29" s="200"/>
      <c r="XR29" s="200">
        <v>18</v>
      </c>
      <c r="XS29" s="325"/>
      <c r="XT29" s="326"/>
      <c r="XU29" s="134"/>
      <c r="XV29" s="134"/>
      <c r="XW29" s="131">
        <f t="shared" si="61"/>
        <v>18</v>
      </c>
      <c r="XX29" s="327"/>
      <c r="XY29" s="200"/>
      <c r="XZ29" s="200"/>
      <c r="YA29" s="200"/>
      <c r="YB29" s="504">
        <v>31</v>
      </c>
      <c r="YC29" s="325"/>
      <c r="YD29" s="326"/>
      <c r="YE29" s="134"/>
      <c r="YF29" s="134"/>
      <c r="YG29" s="131">
        <f t="shared" si="62"/>
        <v>31</v>
      </c>
      <c r="YH29" s="221">
        <f t="shared" si="139"/>
        <v>0</v>
      </c>
      <c r="YI29" s="148">
        <f t="shared" si="139"/>
        <v>258</v>
      </c>
      <c r="YJ29" s="222">
        <v>250</v>
      </c>
      <c r="YK29" s="223">
        <f>+YI29/YJ29</f>
        <v>1.032</v>
      </c>
      <c r="YL29" s="150"/>
      <c r="YM29" s="328"/>
      <c r="YN29" s="200"/>
      <c r="YO29" s="200"/>
      <c r="YP29" s="200">
        <v>23</v>
      </c>
      <c r="YQ29" s="200">
        <v>8</v>
      </c>
      <c r="YR29" s="325"/>
      <c r="YS29" s="326"/>
      <c r="YT29" s="326"/>
      <c r="YU29" s="134"/>
      <c r="YV29" s="131">
        <f t="shared" si="121"/>
        <v>31</v>
      </c>
      <c r="YW29" s="327"/>
      <c r="YX29" s="200"/>
      <c r="YY29" s="200"/>
      <c r="YZ29" s="200"/>
      <c r="ZA29" s="200"/>
      <c r="ZB29" s="325"/>
      <c r="ZC29" s="326"/>
      <c r="ZD29" s="134"/>
      <c r="ZE29" s="134"/>
      <c r="ZF29" s="131">
        <f t="shared" si="132"/>
        <v>0</v>
      </c>
      <c r="ZG29" s="327"/>
      <c r="ZH29" s="200"/>
      <c r="ZI29" s="200"/>
      <c r="ZJ29" s="200">
        <v>27</v>
      </c>
      <c r="ZK29" s="200">
        <v>1</v>
      </c>
      <c r="ZL29" s="325"/>
      <c r="ZM29" s="326"/>
      <c r="ZN29" s="134"/>
      <c r="ZO29" s="134"/>
      <c r="ZP29" s="131">
        <f t="shared" si="122"/>
        <v>28</v>
      </c>
      <c r="ZQ29" s="327"/>
      <c r="ZR29" s="200"/>
      <c r="ZS29" s="200"/>
      <c r="ZT29" s="200"/>
      <c r="ZU29" s="200">
        <v>13</v>
      </c>
      <c r="ZV29" s="325"/>
      <c r="ZW29" s="326"/>
      <c r="ZX29" s="134">
        <v>1</v>
      </c>
      <c r="ZY29" s="134"/>
      <c r="ZZ29" s="131">
        <f t="shared" si="67"/>
        <v>13</v>
      </c>
      <c r="AAA29" s="327"/>
      <c r="AAB29" s="200"/>
      <c r="AAC29" s="200"/>
      <c r="AAD29" s="200">
        <v>38</v>
      </c>
      <c r="AAE29" s="504">
        <v>6</v>
      </c>
      <c r="AAF29" s="325"/>
      <c r="AAG29" s="326"/>
      <c r="AAH29" s="134"/>
      <c r="AAI29" s="134"/>
      <c r="AAJ29" s="131">
        <f t="shared" si="68"/>
        <v>44</v>
      </c>
      <c r="AAK29" s="226">
        <f t="shared" si="69"/>
        <v>116</v>
      </c>
      <c r="AAL29" s="226">
        <v>200</v>
      </c>
      <c r="AAM29" s="227">
        <f t="shared" si="70"/>
        <v>0.57999999999999996</v>
      </c>
      <c r="AAN29" s="329" t="s">
        <v>70</v>
      </c>
      <c r="AAO29" s="324"/>
      <c r="AAP29" s="200"/>
      <c r="AAQ29" s="200"/>
      <c r="AAR29" s="200"/>
      <c r="AAS29" s="200"/>
      <c r="AAT29" s="325"/>
      <c r="AAU29" s="326"/>
      <c r="AAV29" s="134"/>
      <c r="AAW29" s="134"/>
      <c r="AAX29" s="155"/>
      <c r="AAY29" s="131">
        <f t="shared" si="123"/>
        <v>0</v>
      </c>
      <c r="AAZ29" s="327"/>
      <c r="ABA29" s="200"/>
      <c r="ABB29" s="200"/>
      <c r="ABC29" s="200">
        <v>46</v>
      </c>
      <c r="ABD29" s="200">
        <v>11</v>
      </c>
      <c r="ABE29" s="325"/>
      <c r="ABF29" s="326"/>
      <c r="ABG29" s="134"/>
      <c r="ABH29" s="134"/>
      <c r="ABI29" s="131">
        <f t="shared" si="71"/>
        <v>57</v>
      </c>
      <c r="ABJ29" s="327"/>
      <c r="ABK29" s="200"/>
      <c r="ABL29" s="200"/>
      <c r="ABM29" s="200"/>
      <c r="ABN29" s="200">
        <v>30</v>
      </c>
      <c r="ABO29" s="325"/>
      <c r="ABP29" s="326"/>
      <c r="ABQ29" s="134">
        <v>11</v>
      </c>
      <c r="ABR29" s="134"/>
      <c r="ABS29" s="131">
        <f t="shared" si="124"/>
        <v>30</v>
      </c>
      <c r="ABT29" s="327"/>
      <c r="ABU29" s="200"/>
      <c r="ABV29" s="200"/>
      <c r="ABW29" s="200">
        <v>107</v>
      </c>
      <c r="ABX29" s="200">
        <v>10</v>
      </c>
      <c r="ABY29" s="325"/>
      <c r="ABZ29" s="326"/>
      <c r="ACA29" s="134"/>
      <c r="ACB29" s="134"/>
      <c r="ACC29" s="131">
        <f t="shared" si="73"/>
        <v>117</v>
      </c>
      <c r="ACD29" s="327"/>
      <c r="ACE29" s="200"/>
      <c r="ACF29" s="200"/>
      <c r="ACG29" s="200"/>
      <c r="ACH29" s="504">
        <v>66</v>
      </c>
      <c r="ACI29" s="325"/>
      <c r="ACJ29" s="326"/>
      <c r="ACK29" s="134">
        <v>4</v>
      </c>
      <c r="ACL29" s="134"/>
      <c r="ACM29" s="131">
        <f t="shared" si="74"/>
        <v>66</v>
      </c>
      <c r="ACN29" s="156">
        <f t="shared" si="75"/>
        <v>0</v>
      </c>
      <c r="ACO29" s="157"/>
      <c r="ACP29" s="229">
        <f t="shared" si="100"/>
        <v>270</v>
      </c>
      <c r="ACQ29" s="229">
        <v>200</v>
      </c>
      <c r="ACR29" s="230">
        <f t="shared" si="101"/>
        <v>1.35</v>
      </c>
      <c r="ACS29" s="231">
        <f t="shared" si="76"/>
        <v>983</v>
      </c>
      <c r="ACT29" s="207">
        <f t="shared" si="76"/>
        <v>1150</v>
      </c>
      <c r="ACU29" s="208">
        <f t="shared" si="102"/>
        <v>0.85478260869565215</v>
      </c>
      <c r="ACW29" s="495">
        <f t="shared" si="103"/>
        <v>0.7861432225063939</v>
      </c>
      <c r="ACX29" s="496">
        <v>5</v>
      </c>
    </row>
    <row r="30" spans="1:778" s="102" customFormat="1" ht="15" thickBot="1" x14ac:dyDescent="0.4">
      <c r="A30" s="51"/>
      <c r="B30" s="768" t="s">
        <v>91</v>
      </c>
      <c r="C30" s="534"/>
      <c r="D30" s="535"/>
      <c r="E30" s="535"/>
      <c r="F30" s="535"/>
      <c r="G30" s="535">
        <v>0</v>
      </c>
      <c r="H30" s="536"/>
      <c r="I30" s="537"/>
      <c r="J30" s="538"/>
      <c r="K30" s="539">
        <f t="shared" si="0"/>
        <v>0</v>
      </c>
      <c r="L30" s="540"/>
      <c r="M30" s="535"/>
      <c r="N30" s="535"/>
      <c r="O30" s="535"/>
      <c r="P30" s="535">
        <v>0</v>
      </c>
      <c r="Q30" s="536"/>
      <c r="R30" s="537"/>
      <c r="S30" s="538"/>
      <c r="T30" s="239">
        <f t="shared" si="1"/>
        <v>0</v>
      </c>
      <c r="U30" s="541"/>
      <c r="V30" s="542"/>
      <c r="W30" s="542"/>
      <c r="X30" s="542"/>
      <c r="Y30" s="542"/>
      <c r="Z30" s="543"/>
      <c r="AA30" s="544"/>
      <c r="AB30" s="545"/>
      <c r="AC30" s="239">
        <f t="shared" si="2"/>
        <v>0</v>
      </c>
      <c r="AD30" s="541"/>
      <c r="AE30" s="542"/>
      <c r="AF30" s="542"/>
      <c r="AG30" s="542"/>
      <c r="AH30" s="542">
        <v>0</v>
      </c>
      <c r="AI30" s="543"/>
      <c r="AJ30" s="544"/>
      <c r="AK30" s="545"/>
      <c r="AL30" s="241">
        <f t="shared" si="3"/>
        <v>0</v>
      </c>
      <c r="AM30" s="541"/>
      <c r="AN30" s="546"/>
      <c r="AO30" s="546"/>
      <c r="AP30" s="546">
        <v>0</v>
      </c>
      <c r="AQ30" s="547"/>
      <c r="AR30" s="548"/>
      <c r="AS30" s="544"/>
      <c r="AT30" s="545"/>
      <c r="AU30" s="239">
        <f t="shared" si="4"/>
        <v>0</v>
      </c>
      <c r="AV30" s="549">
        <v>0</v>
      </c>
      <c r="AW30" s="245">
        <f t="shared" si="77"/>
        <v>0</v>
      </c>
      <c r="AX30" s="550">
        <v>0</v>
      </c>
      <c r="AY30" s="551">
        <v>0</v>
      </c>
      <c r="AZ30" s="247"/>
      <c r="BA30" s="552"/>
      <c r="BB30" s="542"/>
      <c r="BC30" s="542"/>
      <c r="BD30" s="542"/>
      <c r="BE30" s="542"/>
      <c r="BF30" s="543"/>
      <c r="BG30" s="544"/>
      <c r="BH30" s="553"/>
      <c r="BI30" s="248">
        <f t="shared" si="6"/>
        <v>0</v>
      </c>
      <c r="BJ30" s="542"/>
      <c r="BK30" s="542"/>
      <c r="BL30" s="542"/>
      <c r="BM30" s="542"/>
      <c r="BN30" s="542"/>
      <c r="BO30" s="543"/>
      <c r="BP30" s="544"/>
      <c r="BQ30" s="553"/>
      <c r="BR30" s="239">
        <f t="shared" si="7"/>
        <v>0</v>
      </c>
      <c r="BS30" s="541"/>
      <c r="BT30" s="542"/>
      <c r="BU30" s="542"/>
      <c r="BV30" s="542"/>
      <c r="BW30" s="542"/>
      <c r="BX30" s="543"/>
      <c r="BY30" s="544"/>
      <c r="BZ30" s="553"/>
      <c r="CA30" s="554"/>
      <c r="CB30" s="541"/>
      <c r="CC30" s="542"/>
      <c r="CD30" s="542"/>
      <c r="CE30" s="542"/>
      <c r="CF30" s="542"/>
      <c r="CG30" s="543"/>
      <c r="CH30" s="544"/>
      <c r="CI30" s="553"/>
      <c r="CJ30" s="555"/>
      <c r="CK30" s="541"/>
      <c r="CL30" s="542"/>
      <c r="CM30" s="542"/>
      <c r="CN30" s="542"/>
      <c r="CO30" s="556"/>
      <c r="CP30" s="557"/>
      <c r="CQ30" s="544"/>
      <c r="CR30" s="470"/>
      <c r="CS30" s="251">
        <f t="shared" si="78"/>
        <v>0</v>
      </c>
      <c r="CT30" s="558">
        <v>0</v>
      </c>
      <c r="CU30" s="245">
        <f t="shared" si="79"/>
        <v>0</v>
      </c>
      <c r="CV30" s="550">
        <v>0</v>
      </c>
      <c r="CW30" s="559">
        <v>0</v>
      </c>
      <c r="CX30" s="253"/>
      <c r="CY30" s="552"/>
      <c r="CZ30" s="542"/>
      <c r="DA30" s="542"/>
      <c r="DB30" s="542"/>
      <c r="DC30" s="542"/>
      <c r="DD30" s="543"/>
      <c r="DE30" s="544"/>
      <c r="DF30" s="553"/>
      <c r="DG30" s="239">
        <f t="shared" si="9"/>
        <v>0</v>
      </c>
      <c r="DH30" s="541"/>
      <c r="DI30" s="542"/>
      <c r="DJ30" s="542"/>
      <c r="DK30" s="542"/>
      <c r="DL30" s="542"/>
      <c r="DM30" s="543"/>
      <c r="DN30" s="544"/>
      <c r="DO30" s="553"/>
      <c r="DP30" s="239">
        <f t="shared" si="10"/>
        <v>0</v>
      </c>
      <c r="DQ30" s="541"/>
      <c r="DR30" s="542"/>
      <c r="DS30" s="542"/>
      <c r="DT30" s="542"/>
      <c r="DU30" s="542"/>
      <c r="DV30" s="543"/>
      <c r="DW30" s="544"/>
      <c r="DX30" s="553"/>
      <c r="DY30" s="239">
        <f t="shared" si="80"/>
        <v>0</v>
      </c>
      <c r="DZ30" s="541"/>
      <c r="EA30" s="542"/>
      <c r="EB30" s="542"/>
      <c r="EC30" s="542"/>
      <c r="ED30" s="542"/>
      <c r="EE30" s="543"/>
      <c r="EF30" s="544"/>
      <c r="EG30" s="553"/>
      <c r="EH30" s="254">
        <f t="shared" si="81"/>
        <v>0</v>
      </c>
      <c r="EI30" s="560"/>
      <c r="EJ30" s="542"/>
      <c r="EK30" s="542"/>
      <c r="EL30" s="542"/>
      <c r="EM30" s="556"/>
      <c r="EN30" s="557"/>
      <c r="EO30" s="544"/>
      <c r="EP30" s="470"/>
      <c r="EQ30" s="256">
        <f t="shared" si="82"/>
        <v>0</v>
      </c>
      <c r="ER30" s="561">
        <v>0</v>
      </c>
      <c r="ES30" s="562">
        <f t="shared" si="111"/>
        <v>0</v>
      </c>
      <c r="ET30" s="562">
        <v>0</v>
      </c>
      <c r="EU30" s="563">
        <v>0</v>
      </c>
      <c r="EV30" s="253"/>
      <c r="EW30" s="552"/>
      <c r="EX30" s="542"/>
      <c r="EY30" s="542"/>
      <c r="EZ30" s="542"/>
      <c r="FA30" s="542"/>
      <c r="FB30" s="543"/>
      <c r="FC30" s="544"/>
      <c r="FD30" s="553"/>
      <c r="FE30" s="239">
        <f t="shared" si="12"/>
        <v>0</v>
      </c>
      <c r="FF30" s="541"/>
      <c r="FG30" s="542"/>
      <c r="FH30" s="542"/>
      <c r="FI30" s="542"/>
      <c r="FJ30" s="542"/>
      <c r="FK30" s="543"/>
      <c r="FL30" s="544"/>
      <c r="FM30" s="553"/>
      <c r="FN30" s="239">
        <f t="shared" si="13"/>
        <v>0</v>
      </c>
      <c r="FO30" s="541"/>
      <c r="FP30" s="542"/>
      <c r="FQ30" s="542"/>
      <c r="FR30" s="542"/>
      <c r="FS30" s="542"/>
      <c r="FT30" s="543"/>
      <c r="FU30" s="544"/>
      <c r="FV30" s="553"/>
      <c r="FW30" s="239">
        <f t="shared" si="83"/>
        <v>0</v>
      </c>
      <c r="FX30" s="541"/>
      <c r="FY30" s="542"/>
      <c r="FZ30" s="542"/>
      <c r="GA30" s="542"/>
      <c r="GB30" s="542"/>
      <c r="GC30" s="543"/>
      <c r="GD30" s="544"/>
      <c r="GE30" s="553"/>
      <c r="GF30" s="239">
        <f t="shared" si="84"/>
        <v>0</v>
      </c>
      <c r="GG30" s="541"/>
      <c r="GH30" s="542"/>
      <c r="GI30" s="542"/>
      <c r="GJ30" s="542"/>
      <c r="GK30" s="556"/>
      <c r="GL30" s="557"/>
      <c r="GM30" s="544"/>
      <c r="GN30" s="470"/>
      <c r="GO30" s="239">
        <f t="shared" si="85"/>
        <v>0</v>
      </c>
      <c r="GP30" s="564">
        <v>0</v>
      </c>
      <c r="GQ30" s="550">
        <f t="shared" si="135"/>
        <v>0</v>
      </c>
      <c r="GR30" s="562">
        <v>0</v>
      </c>
      <c r="GS30" s="565">
        <v>0</v>
      </c>
      <c r="GT30" s="552"/>
      <c r="GU30" s="542"/>
      <c r="GV30" s="542"/>
      <c r="GW30" s="542"/>
      <c r="GX30" s="542"/>
      <c r="GY30" s="543"/>
      <c r="GZ30" s="544"/>
      <c r="HA30" s="553"/>
      <c r="HB30" s="553"/>
      <c r="HC30" s="239">
        <f t="shared" si="15"/>
        <v>0</v>
      </c>
      <c r="HD30" s="541"/>
      <c r="HE30" s="542"/>
      <c r="HF30" s="542"/>
      <c r="HG30" s="542"/>
      <c r="HH30" s="542"/>
      <c r="HI30" s="543"/>
      <c r="HJ30" s="544"/>
      <c r="HK30" s="553"/>
      <c r="HL30" s="553"/>
      <c r="HM30" s="239">
        <f t="shared" si="16"/>
        <v>0</v>
      </c>
      <c r="HN30" s="542"/>
      <c r="HO30" s="546"/>
      <c r="HP30" s="546"/>
      <c r="HQ30" s="546"/>
      <c r="HR30" s="546"/>
      <c r="HS30" s="566"/>
      <c r="HT30" s="557"/>
      <c r="HU30" s="470"/>
      <c r="HV30" s="470"/>
      <c r="HW30" s="239">
        <f t="shared" si="17"/>
        <v>0</v>
      </c>
      <c r="HX30" s="541"/>
      <c r="HY30" s="542"/>
      <c r="HZ30" s="542"/>
      <c r="IA30" s="542"/>
      <c r="IB30" s="542"/>
      <c r="IC30" s="543"/>
      <c r="ID30" s="544"/>
      <c r="IE30" s="553"/>
      <c r="IF30" s="553"/>
      <c r="IG30" s="241">
        <f t="shared" si="18"/>
        <v>0</v>
      </c>
      <c r="IH30" s="541"/>
      <c r="II30" s="546"/>
      <c r="IJ30" s="546"/>
      <c r="IK30" s="546"/>
      <c r="IL30" s="567"/>
      <c r="IM30" s="548"/>
      <c r="IN30" s="544"/>
      <c r="IO30" s="553"/>
      <c r="IP30" s="470"/>
      <c r="IQ30" s="239">
        <f t="shared" si="19"/>
        <v>0</v>
      </c>
      <c r="IR30" s="549"/>
      <c r="IS30" s="568"/>
      <c r="IT30" s="550"/>
      <c r="IU30" s="551"/>
      <c r="IV30" s="253"/>
      <c r="IW30" s="569">
        <f t="shared" si="87"/>
        <v>0</v>
      </c>
      <c r="IX30" s="570">
        <f t="shared" si="87"/>
        <v>0</v>
      </c>
      <c r="IY30" s="570">
        <f t="shared" si="87"/>
        <v>0</v>
      </c>
      <c r="IZ30" s="571">
        <v>0</v>
      </c>
      <c r="JA30" s="253"/>
      <c r="JB30" s="572" t="s">
        <v>71</v>
      </c>
      <c r="JC30" s="542"/>
      <c r="JD30" s="542"/>
      <c r="JE30" s="542"/>
      <c r="JF30" s="542"/>
      <c r="JG30" s="542"/>
      <c r="JH30" s="543"/>
      <c r="JI30" s="544"/>
      <c r="JJ30" s="553"/>
      <c r="JK30" s="553"/>
      <c r="JL30" s="554"/>
      <c r="JM30" s="541"/>
      <c r="JN30" s="542"/>
      <c r="JO30" s="542"/>
      <c r="JP30" s="542"/>
      <c r="JQ30" s="542"/>
      <c r="JR30" s="543"/>
      <c r="JS30" s="544"/>
      <c r="JT30" s="553"/>
      <c r="JU30" s="553"/>
      <c r="JV30" s="554"/>
      <c r="JW30" s="541"/>
      <c r="JX30" s="542"/>
      <c r="JY30" s="542"/>
      <c r="JZ30" s="542"/>
      <c r="KA30" s="542"/>
      <c r="KB30" s="543"/>
      <c r="KC30" s="544"/>
      <c r="KD30" s="553"/>
      <c r="KE30" s="553"/>
      <c r="KF30" s="554"/>
      <c r="KG30" s="541"/>
      <c r="KH30" s="542"/>
      <c r="KI30" s="542"/>
      <c r="KJ30" s="542"/>
      <c r="KK30" s="542"/>
      <c r="KL30" s="543"/>
      <c r="KM30" s="544"/>
      <c r="KN30" s="553"/>
      <c r="KO30" s="553"/>
      <c r="KP30" s="555"/>
      <c r="KQ30" s="541"/>
      <c r="KR30" s="542"/>
      <c r="KS30" s="542"/>
      <c r="KT30" s="542"/>
      <c r="KU30" s="556"/>
      <c r="KV30" s="557"/>
      <c r="KW30" s="573"/>
      <c r="KX30" s="553"/>
      <c r="KY30" s="470"/>
      <c r="KZ30" s="554"/>
      <c r="LA30" s="549"/>
      <c r="LB30" s="568"/>
      <c r="LC30" s="550"/>
      <c r="LD30" s="550"/>
      <c r="LE30" s="574"/>
      <c r="LF30" s="575"/>
      <c r="LG30" s="303"/>
      <c r="LH30" s="542"/>
      <c r="LI30" s="542"/>
      <c r="LJ30" s="542"/>
      <c r="LK30" s="542"/>
      <c r="LL30" s="542"/>
      <c r="LM30" s="543"/>
      <c r="LN30" s="544"/>
      <c r="LO30" s="553"/>
      <c r="LP30" s="553"/>
      <c r="LQ30" s="554"/>
      <c r="LR30" s="541"/>
      <c r="LS30" s="542"/>
      <c r="LT30" s="542"/>
      <c r="LU30" s="542"/>
      <c r="LV30" s="542"/>
      <c r="LW30" s="543"/>
      <c r="LX30" s="544"/>
      <c r="LY30" s="553"/>
      <c r="LZ30" s="553"/>
      <c r="MA30" s="554"/>
      <c r="MB30" s="541"/>
      <c r="MC30" s="542"/>
      <c r="MD30" s="542"/>
      <c r="ME30" s="542"/>
      <c r="MF30" s="542"/>
      <c r="MG30" s="543"/>
      <c r="MH30" s="544"/>
      <c r="MI30" s="553"/>
      <c r="MJ30" s="553"/>
      <c r="MK30" s="554"/>
      <c r="ML30" s="541"/>
      <c r="MM30" s="542"/>
      <c r="MN30" s="542"/>
      <c r="MO30" s="542"/>
      <c r="MP30" s="542"/>
      <c r="MQ30" s="543"/>
      <c r="MR30" s="544"/>
      <c r="MS30" s="553"/>
      <c r="MT30" s="553"/>
      <c r="MU30" s="555"/>
      <c r="MV30" s="541"/>
      <c r="MW30" s="542"/>
      <c r="MX30" s="542"/>
      <c r="MY30" s="542"/>
      <c r="MZ30" s="556"/>
      <c r="NA30" s="557"/>
      <c r="NB30" s="544"/>
      <c r="NC30" s="553"/>
      <c r="ND30" s="470"/>
      <c r="NE30" s="554"/>
      <c r="NF30" s="576"/>
      <c r="NG30" s="550"/>
      <c r="NH30" s="550"/>
      <c r="NI30" s="550"/>
      <c r="NJ30" s="577"/>
      <c r="NK30" s="578"/>
      <c r="NL30" s="303"/>
      <c r="NM30" s="542"/>
      <c r="NN30" s="542"/>
      <c r="NO30" s="542"/>
      <c r="NP30" s="542"/>
      <c r="NQ30" s="542"/>
      <c r="NR30" s="543"/>
      <c r="NS30" s="544"/>
      <c r="NT30" s="553"/>
      <c r="NU30" s="553"/>
      <c r="NV30" s="554"/>
      <c r="NW30" s="541"/>
      <c r="NX30" s="542"/>
      <c r="NY30" s="542"/>
      <c r="NZ30" s="542"/>
      <c r="OA30" s="542"/>
      <c r="OB30" s="543"/>
      <c r="OC30" s="544"/>
      <c r="OD30" s="553"/>
      <c r="OE30" s="553"/>
      <c r="OF30" s="554"/>
      <c r="OG30" s="541"/>
      <c r="OH30" s="542"/>
      <c r="OI30" s="542"/>
      <c r="OJ30" s="542"/>
      <c r="OK30" s="542"/>
      <c r="OL30" s="543"/>
      <c r="OM30" s="544"/>
      <c r="ON30" s="553"/>
      <c r="OO30" s="553"/>
      <c r="OP30" s="554"/>
      <c r="OQ30" s="541"/>
      <c r="OR30" s="542"/>
      <c r="OS30" s="542"/>
      <c r="OT30" s="542"/>
      <c r="OU30" s="542"/>
      <c r="OV30" s="543"/>
      <c r="OW30" s="544"/>
      <c r="OX30" s="553"/>
      <c r="OY30" s="553"/>
      <c r="OZ30" s="555"/>
      <c r="PA30" s="541"/>
      <c r="PB30" s="542"/>
      <c r="PC30" s="542"/>
      <c r="PD30" s="542"/>
      <c r="PE30" s="556"/>
      <c r="PF30" s="557"/>
      <c r="PG30" s="544"/>
      <c r="PH30" s="553"/>
      <c r="PI30" s="470"/>
      <c r="PJ30" s="554"/>
      <c r="PK30" s="549"/>
      <c r="PL30" s="550"/>
      <c r="PM30" s="550"/>
      <c r="PN30" s="550"/>
      <c r="PO30" s="574"/>
      <c r="PP30" s="578"/>
      <c r="PQ30" s="303"/>
      <c r="PR30" s="542"/>
      <c r="PS30" s="542"/>
      <c r="PT30" s="542"/>
      <c r="PU30" s="542"/>
      <c r="PV30" s="542"/>
      <c r="PW30" s="543"/>
      <c r="PX30" s="544"/>
      <c r="PY30" s="553"/>
      <c r="PZ30" s="553"/>
      <c r="QA30" s="554"/>
      <c r="QB30" s="541"/>
      <c r="QC30" s="542"/>
      <c r="QD30" s="542"/>
      <c r="QE30" s="542"/>
      <c r="QF30" s="542"/>
      <c r="QG30" s="543"/>
      <c r="QH30" s="544"/>
      <c r="QI30" s="553"/>
      <c r="QJ30" s="553"/>
      <c r="QK30" s="554"/>
      <c r="QL30" s="541"/>
      <c r="QM30" s="542"/>
      <c r="QN30" s="542"/>
      <c r="QO30" s="542"/>
      <c r="QP30" s="542"/>
      <c r="QQ30" s="543"/>
      <c r="QR30" s="544"/>
      <c r="QS30" s="553"/>
      <c r="QT30" s="553"/>
      <c r="QU30" s="554"/>
      <c r="QV30" s="541"/>
      <c r="QW30" s="542"/>
      <c r="QX30" s="542"/>
      <c r="QY30" s="542"/>
      <c r="QZ30" s="542"/>
      <c r="RA30" s="543"/>
      <c r="RB30" s="544"/>
      <c r="RC30" s="553"/>
      <c r="RD30" s="553"/>
      <c r="RE30" s="555"/>
      <c r="RF30" s="541"/>
      <c r="RG30" s="542"/>
      <c r="RH30" s="542"/>
      <c r="RI30" s="542"/>
      <c r="RJ30" s="556"/>
      <c r="RK30" s="557"/>
      <c r="RL30" s="544"/>
      <c r="RM30" s="553"/>
      <c r="RN30" s="470"/>
      <c r="RO30" s="554"/>
      <c r="RP30" s="576"/>
      <c r="RQ30" s="550"/>
      <c r="RR30" s="550"/>
      <c r="RS30" s="550"/>
      <c r="RT30" s="579"/>
      <c r="RU30" s="253"/>
      <c r="RV30" s="580">
        <v>0</v>
      </c>
      <c r="RW30" s="465">
        <f>+LB30+NG30+PL30+RQ30</f>
        <v>0</v>
      </c>
      <c r="RX30" s="546">
        <v>0</v>
      </c>
      <c r="RY30" s="581">
        <v>0</v>
      </c>
      <c r="RZ30" s="253"/>
      <c r="SA30" s="572" t="s">
        <v>71</v>
      </c>
      <c r="SB30" s="464">
        <v>0</v>
      </c>
      <c r="SC30" s="465"/>
      <c r="SD30" s="465"/>
      <c r="SE30" s="465"/>
      <c r="SF30" s="465"/>
      <c r="SG30" s="467"/>
      <c r="SH30" s="582"/>
      <c r="SI30" s="238"/>
      <c r="SJ30" s="238"/>
      <c r="SK30" s="583">
        <f t="shared" si="116"/>
        <v>0</v>
      </c>
      <c r="SL30" s="584"/>
      <c r="SM30" s="585"/>
      <c r="SN30" s="585"/>
      <c r="SO30" s="585"/>
      <c r="SP30" s="585"/>
      <c r="SQ30" s="467"/>
      <c r="SR30" s="586"/>
      <c r="SS30" s="587"/>
      <c r="ST30" s="587"/>
      <c r="SU30" s="583">
        <f t="shared" si="129"/>
        <v>0</v>
      </c>
      <c r="SV30" s="584"/>
      <c r="SW30" s="585"/>
      <c r="SX30" s="585"/>
      <c r="SY30" s="585"/>
      <c r="SZ30" s="585"/>
      <c r="TA30" s="467"/>
      <c r="TB30" s="586"/>
      <c r="TC30" s="587"/>
      <c r="TD30" s="587"/>
      <c r="TE30" s="583">
        <f t="shared" si="117"/>
        <v>0</v>
      </c>
      <c r="TF30" s="584"/>
      <c r="TG30" s="585"/>
      <c r="TH30" s="585"/>
      <c r="TI30" s="585"/>
      <c r="TJ30" s="585"/>
      <c r="TK30" s="467"/>
      <c r="TL30" s="586"/>
      <c r="TM30" s="587"/>
      <c r="TN30" s="587"/>
      <c r="TO30" s="583">
        <f t="shared" si="49"/>
        <v>0</v>
      </c>
      <c r="TP30" s="584"/>
      <c r="TQ30" s="585"/>
      <c r="TR30" s="585"/>
      <c r="TS30" s="585"/>
      <c r="TT30" s="585"/>
      <c r="TU30" s="467"/>
      <c r="TV30" s="586"/>
      <c r="TW30" s="587"/>
      <c r="TX30" s="587"/>
      <c r="TY30" s="588">
        <f t="shared" si="50"/>
        <v>0</v>
      </c>
      <c r="TZ30" s="589">
        <f>+SJ30+ST30+TD30+TN30+TX30</f>
        <v>0</v>
      </c>
      <c r="UA30" s="570">
        <f>+TY30+TO30+TE30+SU30+SK30</f>
        <v>0</v>
      </c>
      <c r="UB30" s="570">
        <v>0</v>
      </c>
      <c r="UC30" s="590">
        <v>0</v>
      </c>
      <c r="UD30" s="253"/>
      <c r="UE30" s="591" t="s">
        <v>71</v>
      </c>
      <c r="UF30" s="464">
        <v>0</v>
      </c>
      <c r="UG30" s="465"/>
      <c r="UH30" s="465"/>
      <c r="UI30" s="465"/>
      <c r="UJ30" s="465"/>
      <c r="UK30" s="467"/>
      <c r="UL30" s="582"/>
      <c r="UM30" s="238"/>
      <c r="UN30" s="238"/>
      <c r="UO30" s="592">
        <f t="shared" si="118"/>
        <v>0</v>
      </c>
      <c r="UP30" s="472"/>
      <c r="UQ30" s="465"/>
      <c r="UR30" s="465"/>
      <c r="US30" s="465"/>
      <c r="UT30" s="465"/>
      <c r="UU30" s="467"/>
      <c r="UV30" s="582"/>
      <c r="UW30" s="238"/>
      <c r="UX30" s="238"/>
      <c r="UY30" s="592">
        <f t="shared" si="130"/>
        <v>0</v>
      </c>
      <c r="UZ30" s="472"/>
      <c r="VA30" s="465"/>
      <c r="VB30" s="465"/>
      <c r="VC30" s="465"/>
      <c r="VD30" s="465"/>
      <c r="VE30" s="467"/>
      <c r="VF30" s="582"/>
      <c r="VG30" s="238"/>
      <c r="VH30" s="238"/>
      <c r="VI30" s="592">
        <f t="shared" si="119"/>
        <v>0</v>
      </c>
      <c r="VJ30" s="472"/>
      <c r="VK30" s="465"/>
      <c r="VL30" s="465"/>
      <c r="VM30" s="465"/>
      <c r="VN30" s="465"/>
      <c r="VO30" s="467"/>
      <c r="VP30" s="582"/>
      <c r="VQ30" s="238"/>
      <c r="VR30" s="238"/>
      <c r="VS30" s="592">
        <f t="shared" si="55"/>
        <v>0</v>
      </c>
      <c r="VT30" s="472"/>
      <c r="VU30" s="465"/>
      <c r="VV30" s="465"/>
      <c r="VW30" s="465"/>
      <c r="VX30" s="465"/>
      <c r="VY30" s="471"/>
      <c r="VZ30" s="582"/>
      <c r="WA30" s="238"/>
      <c r="WB30" s="238"/>
      <c r="WC30" s="592">
        <f t="shared" si="56"/>
        <v>0</v>
      </c>
      <c r="WD30" s="593">
        <f>+UN30+UX30+VH30+VR30+WB30</f>
        <v>0</v>
      </c>
      <c r="WE30" s="594">
        <f>+WC30+VS30+VI30+UY30+UO30</f>
        <v>0</v>
      </c>
      <c r="WF30" s="594">
        <v>0</v>
      </c>
      <c r="WG30" s="595">
        <v>0</v>
      </c>
      <c r="WH30" s="596"/>
      <c r="WI30" s="597" t="s">
        <v>71</v>
      </c>
      <c r="WJ30" s="598">
        <v>0</v>
      </c>
      <c r="WK30" s="585"/>
      <c r="WL30" s="585"/>
      <c r="WM30" s="585"/>
      <c r="WN30" s="585"/>
      <c r="WO30" s="467"/>
      <c r="WP30" s="586"/>
      <c r="WQ30" s="587"/>
      <c r="WR30" s="587"/>
      <c r="WS30" s="583">
        <f t="shared" si="58"/>
        <v>0</v>
      </c>
      <c r="WT30" s="584"/>
      <c r="WU30" s="585"/>
      <c r="WV30" s="585"/>
      <c r="WW30" s="585"/>
      <c r="WX30" s="585"/>
      <c r="WY30" s="467"/>
      <c r="WZ30" s="586"/>
      <c r="XA30" s="587"/>
      <c r="XB30" s="587"/>
      <c r="XC30" s="583">
        <f t="shared" si="131"/>
        <v>0</v>
      </c>
      <c r="XD30" s="584"/>
      <c r="XE30" s="585"/>
      <c r="XF30" s="585"/>
      <c r="XG30" s="585"/>
      <c r="XH30" s="585"/>
      <c r="XI30" s="467"/>
      <c r="XJ30" s="586"/>
      <c r="XK30" s="587"/>
      <c r="XL30" s="587"/>
      <c r="XM30" s="583">
        <f t="shared" si="120"/>
        <v>0</v>
      </c>
      <c r="XN30" s="584"/>
      <c r="XO30" s="585"/>
      <c r="XP30" s="585"/>
      <c r="XQ30" s="585"/>
      <c r="XR30" s="585"/>
      <c r="XS30" s="467"/>
      <c r="XT30" s="586"/>
      <c r="XU30" s="587"/>
      <c r="XV30" s="587"/>
      <c r="XW30" s="583">
        <f t="shared" si="61"/>
        <v>0</v>
      </c>
      <c r="XX30" s="584"/>
      <c r="XY30" s="585"/>
      <c r="XZ30" s="585"/>
      <c r="YA30" s="585"/>
      <c r="YB30" s="585"/>
      <c r="YC30" s="467"/>
      <c r="YD30" s="586"/>
      <c r="YE30" s="587"/>
      <c r="YF30" s="587"/>
      <c r="YG30" s="583">
        <f t="shared" si="62"/>
        <v>0</v>
      </c>
      <c r="YH30" s="593">
        <f t="shared" si="139"/>
        <v>0</v>
      </c>
      <c r="YI30" s="279">
        <f t="shared" si="139"/>
        <v>0</v>
      </c>
      <c r="YJ30" s="594">
        <v>0</v>
      </c>
      <c r="YK30" s="599">
        <v>0</v>
      </c>
      <c r="YL30" s="600"/>
      <c r="YM30" s="473">
        <v>0</v>
      </c>
      <c r="YN30" s="465"/>
      <c r="YO30" s="465"/>
      <c r="YP30" s="465"/>
      <c r="YQ30" s="465"/>
      <c r="YR30" s="467"/>
      <c r="YS30" s="582"/>
      <c r="YT30" s="238"/>
      <c r="YU30" s="238"/>
      <c r="YV30" s="592">
        <f t="shared" si="121"/>
        <v>0</v>
      </c>
      <c r="YW30" s="472"/>
      <c r="YX30" s="465"/>
      <c r="YY30" s="465"/>
      <c r="YZ30" s="465"/>
      <c r="ZA30" s="465"/>
      <c r="ZB30" s="467"/>
      <c r="ZC30" s="582"/>
      <c r="ZD30" s="238"/>
      <c r="ZE30" s="238"/>
      <c r="ZF30" s="592">
        <f t="shared" si="132"/>
        <v>0</v>
      </c>
      <c r="ZG30" s="472"/>
      <c r="ZH30" s="465"/>
      <c r="ZI30" s="465"/>
      <c r="ZJ30" s="465"/>
      <c r="ZK30" s="465"/>
      <c r="ZL30" s="467"/>
      <c r="ZM30" s="582"/>
      <c r="ZN30" s="238"/>
      <c r="ZO30" s="238"/>
      <c r="ZP30" s="592">
        <f t="shared" si="122"/>
        <v>0</v>
      </c>
      <c r="ZQ30" s="472"/>
      <c r="ZR30" s="465"/>
      <c r="ZS30" s="465"/>
      <c r="ZT30" s="465"/>
      <c r="ZU30" s="465"/>
      <c r="ZV30" s="467"/>
      <c r="ZW30" s="582"/>
      <c r="ZX30" s="238"/>
      <c r="ZY30" s="238"/>
      <c r="ZZ30" s="592">
        <f t="shared" si="67"/>
        <v>0</v>
      </c>
      <c r="AAA30" s="472"/>
      <c r="AAB30" s="465"/>
      <c r="AAC30" s="465"/>
      <c r="AAD30" s="465"/>
      <c r="AAE30" s="465"/>
      <c r="AAF30" s="471"/>
      <c r="AAG30" s="582"/>
      <c r="AAH30" s="238"/>
      <c r="AAI30" s="238"/>
      <c r="AAJ30" s="592">
        <f t="shared" si="68"/>
        <v>0</v>
      </c>
      <c r="AAK30" s="275">
        <f t="shared" si="69"/>
        <v>0</v>
      </c>
      <c r="AAL30" s="465">
        <v>0</v>
      </c>
      <c r="AAM30" s="601">
        <v>0</v>
      </c>
      <c r="AAN30" s="602" t="s">
        <v>71</v>
      </c>
      <c r="AAO30" s="464">
        <v>0</v>
      </c>
      <c r="AAP30" s="465"/>
      <c r="AAQ30" s="465"/>
      <c r="AAR30" s="465"/>
      <c r="AAS30" s="465"/>
      <c r="AAT30" s="467"/>
      <c r="AAU30" s="582"/>
      <c r="AAV30" s="238"/>
      <c r="AAW30" s="238"/>
      <c r="AAX30" s="553"/>
      <c r="AAY30" s="583">
        <f t="shared" si="123"/>
        <v>0</v>
      </c>
      <c r="AAZ30" s="584"/>
      <c r="ABA30" s="585"/>
      <c r="ABB30" s="585"/>
      <c r="ABC30" s="585"/>
      <c r="ABD30" s="585"/>
      <c r="ABE30" s="467"/>
      <c r="ABF30" s="586"/>
      <c r="ABG30" s="587"/>
      <c r="ABH30" s="587"/>
      <c r="ABI30" s="583">
        <f t="shared" si="71"/>
        <v>0</v>
      </c>
      <c r="ABJ30" s="584"/>
      <c r="ABK30" s="585"/>
      <c r="ABL30" s="585"/>
      <c r="ABM30" s="585"/>
      <c r="ABN30" s="585"/>
      <c r="ABO30" s="467"/>
      <c r="ABP30" s="586"/>
      <c r="ABQ30" s="587"/>
      <c r="ABR30" s="587"/>
      <c r="ABS30" s="583">
        <f t="shared" si="124"/>
        <v>0</v>
      </c>
      <c r="ABT30" s="584"/>
      <c r="ABU30" s="585"/>
      <c r="ABV30" s="585"/>
      <c r="ABW30" s="585"/>
      <c r="ABX30" s="585"/>
      <c r="ABY30" s="467"/>
      <c r="ABZ30" s="586"/>
      <c r="ACA30" s="587"/>
      <c r="ACB30" s="587"/>
      <c r="ACC30" s="583">
        <f t="shared" si="73"/>
        <v>0</v>
      </c>
      <c r="ACD30" s="584"/>
      <c r="ACE30" s="585"/>
      <c r="ACF30" s="585"/>
      <c r="ACG30" s="585"/>
      <c r="ACH30" s="585"/>
      <c r="ACI30" s="467"/>
      <c r="ACJ30" s="586"/>
      <c r="ACK30" s="587"/>
      <c r="ACL30" s="587"/>
      <c r="ACM30" s="583">
        <f t="shared" si="74"/>
        <v>0</v>
      </c>
      <c r="ACN30" s="603">
        <f t="shared" si="75"/>
        <v>0</v>
      </c>
      <c r="ACO30" s="604"/>
      <c r="ACP30" s="275">
        <f t="shared" si="100"/>
        <v>0</v>
      </c>
      <c r="ACQ30" s="585">
        <v>0</v>
      </c>
      <c r="ACR30" s="259">
        <v>0</v>
      </c>
      <c r="ACS30" s="605">
        <f t="shared" si="76"/>
        <v>0</v>
      </c>
      <c r="ACT30" s="606">
        <f t="shared" si="76"/>
        <v>0</v>
      </c>
      <c r="ACU30" s="595">
        <v>0</v>
      </c>
      <c r="ACV30" s="253"/>
      <c r="ACW30" s="260">
        <f t="shared" si="103"/>
        <v>0</v>
      </c>
      <c r="ACX30" s="306" t="s">
        <v>50</v>
      </c>
    </row>
    <row r="31" spans="1:778" s="645" customFormat="1" ht="16.5" thickTop="1" thickBot="1" x14ac:dyDescent="0.4">
      <c r="A31" s="607" t="s">
        <v>72</v>
      </c>
      <c r="B31" s="608" t="s">
        <v>73</v>
      </c>
      <c r="C31" s="609">
        <f t="shared" ref="C31:H31" si="140">SUM(C8:C29)</f>
        <v>29</v>
      </c>
      <c r="D31" s="609">
        <f t="shared" si="140"/>
        <v>50</v>
      </c>
      <c r="E31" s="609">
        <f t="shared" si="140"/>
        <v>83</v>
      </c>
      <c r="F31" s="609">
        <f t="shared" si="140"/>
        <v>121</v>
      </c>
      <c r="G31" s="609">
        <f t="shared" si="140"/>
        <v>266</v>
      </c>
      <c r="H31" s="609">
        <f t="shared" si="140"/>
        <v>284</v>
      </c>
      <c r="I31" s="610">
        <f>SUM(I7:I29)</f>
        <v>0</v>
      </c>
      <c r="J31" s="611">
        <f t="shared" ref="J31:AX31" si="141">SUM(J8:J29)</f>
        <v>0</v>
      </c>
      <c r="K31" s="612">
        <f t="shared" si="141"/>
        <v>833</v>
      </c>
      <c r="L31" s="613">
        <f t="shared" si="141"/>
        <v>139</v>
      </c>
      <c r="M31" s="614">
        <f t="shared" si="141"/>
        <v>35</v>
      </c>
      <c r="N31" s="614">
        <f t="shared" si="141"/>
        <v>68</v>
      </c>
      <c r="O31" s="614">
        <f t="shared" si="141"/>
        <v>140</v>
      </c>
      <c r="P31" s="614">
        <f t="shared" si="141"/>
        <v>145</v>
      </c>
      <c r="Q31" s="615">
        <f t="shared" si="141"/>
        <v>292</v>
      </c>
      <c r="R31" s="610">
        <f t="shared" si="141"/>
        <v>0</v>
      </c>
      <c r="S31" s="611">
        <f t="shared" si="141"/>
        <v>0</v>
      </c>
      <c r="T31" s="612">
        <f t="shared" si="141"/>
        <v>819</v>
      </c>
      <c r="U31" s="616">
        <f t="shared" si="141"/>
        <v>0</v>
      </c>
      <c r="V31" s="617">
        <f t="shared" si="141"/>
        <v>0</v>
      </c>
      <c r="W31" s="617">
        <f t="shared" si="141"/>
        <v>0</v>
      </c>
      <c r="X31" s="617">
        <f t="shared" si="141"/>
        <v>0</v>
      </c>
      <c r="Y31" s="617">
        <f t="shared" si="141"/>
        <v>0</v>
      </c>
      <c r="Z31" s="618">
        <f t="shared" si="141"/>
        <v>0</v>
      </c>
      <c r="AA31" s="619">
        <f t="shared" si="141"/>
        <v>0</v>
      </c>
      <c r="AB31" s="620">
        <f t="shared" si="141"/>
        <v>0</v>
      </c>
      <c r="AC31" s="621">
        <f t="shared" si="141"/>
        <v>0</v>
      </c>
      <c r="AD31" s="613">
        <f t="shared" si="141"/>
        <v>109</v>
      </c>
      <c r="AE31" s="614">
        <f t="shared" si="141"/>
        <v>106</v>
      </c>
      <c r="AF31" s="614">
        <f t="shared" si="141"/>
        <v>76</v>
      </c>
      <c r="AG31" s="614">
        <f t="shared" si="141"/>
        <v>135</v>
      </c>
      <c r="AH31" s="614">
        <f t="shared" si="141"/>
        <v>319</v>
      </c>
      <c r="AI31" s="615">
        <f t="shared" si="141"/>
        <v>252</v>
      </c>
      <c r="AJ31" s="610">
        <f t="shared" si="141"/>
        <v>0</v>
      </c>
      <c r="AK31" s="611">
        <f t="shared" si="141"/>
        <v>0</v>
      </c>
      <c r="AL31" s="612">
        <f t="shared" si="141"/>
        <v>997</v>
      </c>
      <c r="AM31" s="613">
        <f t="shared" si="141"/>
        <v>98</v>
      </c>
      <c r="AN31" s="622">
        <f t="shared" si="141"/>
        <v>0</v>
      </c>
      <c r="AO31" s="622">
        <f t="shared" si="141"/>
        <v>91</v>
      </c>
      <c r="AP31" s="622">
        <f t="shared" si="141"/>
        <v>148</v>
      </c>
      <c r="AQ31" s="622">
        <f t="shared" si="141"/>
        <v>236</v>
      </c>
      <c r="AR31" s="623">
        <f t="shared" si="141"/>
        <v>203</v>
      </c>
      <c r="AS31" s="610">
        <f t="shared" si="141"/>
        <v>0</v>
      </c>
      <c r="AT31" s="624">
        <f t="shared" si="141"/>
        <v>0</v>
      </c>
      <c r="AU31" s="625">
        <f t="shared" si="141"/>
        <v>776</v>
      </c>
      <c r="AV31" s="626">
        <f t="shared" si="141"/>
        <v>3872</v>
      </c>
      <c r="AW31" s="627">
        <f t="shared" si="141"/>
        <v>3425</v>
      </c>
      <c r="AX31" s="627">
        <f t="shared" si="141"/>
        <v>3350</v>
      </c>
      <c r="AY31" s="628">
        <f t="shared" si="5"/>
        <v>1.0223880597014925</v>
      </c>
      <c r="AZ31" s="629"/>
      <c r="BA31" s="609">
        <f t="shared" ref="BA31:CS31" si="142">SUM(BA8:BA29)</f>
        <v>75</v>
      </c>
      <c r="BB31" s="614">
        <f t="shared" si="142"/>
        <v>18</v>
      </c>
      <c r="BC31" s="614">
        <f t="shared" si="142"/>
        <v>0</v>
      </c>
      <c r="BD31" s="614">
        <f t="shared" si="142"/>
        <v>152</v>
      </c>
      <c r="BE31" s="614">
        <f t="shared" si="142"/>
        <v>313</v>
      </c>
      <c r="BF31" s="615">
        <f t="shared" si="142"/>
        <v>284</v>
      </c>
      <c r="BG31" s="610">
        <f t="shared" si="142"/>
        <v>0</v>
      </c>
      <c r="BH31" s="611">
        <f t="shared" si="142"/>
        <v>0</v>
      </c>
      <c r="BI31" s="630">
        <f t="shared" si="142"/>
        <v>842</v>
      </c>
      <c r="BJ31" s="614">
        <f t="shared" si="142"/>
        <v>0</v>
      </c>
      <c r="BK31" s="614">
        <f t="shared" si="142"/>
        <v>17</v>
      </c>
      <c r="BL31" s="614">
        <f t="shared" si="142"/>
        <v>82</v>
      </c>
      <c r="BM31" s="614">
        <f t="shared" si="142"/>
        <v>199</v>
      </c>
      <c r="BN31" s="614">
        <f t="shared" si="142"/>
        <v>417</v>
      </c>
      <c r="BO31" s="615">
        <f t="shared" si="142"/>
        <v>269</v>
      </c>
      <c r="BP31" s="610">
        <f t="shared" si="142"/>
        <v>0</v>
      </c>
      <c r="BQ31" s="611">
        <f t="shared" si="142"/>
        <v>0</v>
      </c>
      <c r="BR31" s="612">
        <f t="shared" si="142"/>
        <v>984</v>
      </c>
      <c r="BS31" s="613">
        <f t="shared" si="142"/>
        <v>41</v>
      </c>
      <c r="BT31" s="614">
        <f t="shared" si="142"/>
        <v>17</v>
      </c>
      <c r="BU31" s="614">
        <f t="shared" si="142"/>
        <v>33</v>
      </c>
      <c r="BV31" s="614">
        <f t="shared" si="142"/>
        <v>195</v>
      </c>
      <c r="BW31" s="614">
        <f t="shared" si="142"/>
        <v>312</v>
      </c>
      <c r="BX31" s="615">
        <f t="shared" si="142"/>
        <v>319</v>
      </c>
      <c r="BY31" s="610">
        <f t="shared" si="142"/>
        <v>0</v>
      </c>
      <c r="BZ31" s="611">
        <f t="shared" si="142"/>
        <v>0</v>
      </c>
      <c r="CA31" s="612">
        <f t="shared" si="142"/>
        <v>917</v>
      </c>
      <c r="CB31" s="613">
        <f t="shared" si="142"/>
        <v>58</v>
      </c>
      <c r="CC31" s="614">
        <f t="shared" si="142"/>
        <v>39</v>
      </c>
      <c r="CD31" s="614">
        <f t="shared" si="142"/>
        <v>52</v>
      </c>
      <c r="CE31" s="614">
        <f t="shared" si="142"/>
        <v>140</v>
      </c>
      <c r="CF31" s="614">
        <f t="shared" si="142"/>
        <v>335</v>
      </c>
      <c r="CG31" s="615">
        <f t="shared" si="142"/>
        <v>235</v>
      </c>
      <c r="CH31" s="610">
        <f t="shared" si="142"/>
        <v>0</v>
      </c>
      <c r="CI31" s="611">
        <f t="shared" si="142"/>
        <v>0</v>
      </c>
      <c r="CJ31" s="612">
        <f t="shared" si="142"/>
        <v>859</v>
      </c>
      <c r="CK31" s="613">
        <f t="shared" si="142"/>
        <v>90</v>
      </c>
      <c r="CL31" s="614">
        <f t="shared" si="142"/>
        <v>40</v>
      </c>
      <c r="CM31" s="614">
        <f t="shared" si="142"/>
        <v>43</v>
      </c>
      <c r="CN31" s="614">
        <f t="shared" si="142"/>
        <v>135</v>
      </c>
      <c r="CO31" s="614">
        <f t="shared" si="142"/>
        <v>280</v>
      </c>
      <c r="CP31" s="615">
        <f t="shared" si="142"/>
        <v>152</v>
      </c>
      <c r="CQ31" s="610">
        <f t="shared" si="142"/>
        <v>0</v>
      </c>
      <c r="CR31" s="624">
        <f t="shared" si="142"/>
        <v>0</v>
      </c>
      <c r="CS31" s="631">
        <f t="shared" si="142"/>
        <v>740</v>
      </c>
      <c r="CT31" s="632">
        <f>SUM(CT8:CT30)</f>
        <v>5325</v>
      </c>
      <c r="CU31" s="633">
        <f>SUM(CU8:CU29)</f>
        <v>4342</v>
      </c>
      <c r="CV31" s="634">
        <f>SUM(CV8:CV30)</f>
        <v>4400</v>
      </c>
      <c r="CW31" s="635">
        <f t="shared" si="8"/>
        <v>0.98681818181818182</v>
      </c>
      <c r="CX31" s="636"/>
      <c r="CY31" s="609">
        <f t="shared" ref="CY31:EQ31" si="143">SUM(CY8:CY29)</f>
        <v>141</v>
      </c>
      <c r="CZ31" s="614">
        <f t="shared" si="143"/>
        <v>12</v>
      </c>
      <c r="DA31" s="614">
        <f t="shared" si="143"/>
        <v>32</v>
      </c>
      <c r="DB31" s="614">
        <f t="shared" si="143"/>
        <v>147</v>
      </c>
      <c r="DC31" s="614">
        <f t="shared" si="143"/>
        <v>248</v>
      </c>
      <c r="DD31" s="615">
        <f t="shared" si="143"/>
        <v>224</v>
      </c>
      <c r="DE31" s="610">
        <f t="shared" si="143"/>
        <v>0</v>
      </c>
      <c r="DF31" s="611">
        <f t="shared" si="143"/>
        <v>0</v>
      </c>
      <c r="DG31" s="612">
        <f t="shared" si="143"/>
        <v>804</v>
      </c>
      <c r="DH31" s="613">
        <f t="shared" si="143"/>
        <v>92</v>
      </c>
      <c r="DI31" s="614">
        <f t="shared" si="143"/>
        <v>22</v>
      </c>
      <c r="DJ31" s="614">
        <f t="shared" si="143"/>
        <v>55</v>
      </c>
      <c r="DK31" s="614">
        <f t="shared" si="143"/>
        <v>153</v>
      </c>
      <c r="DL31" s="614">
        <f t="shared" si="143"/>
        <v>294</v>
      </c>
      <c r="DM31" s="615">
        <f t="shared" si="143"/>
        <v>216</v>
      </c>
      <c r="DN31" s="610">
        <f t="shared" si="143"/>
        <v>0</v>
      </c>
      <c r="DO31" s="611">
        <f t="shared" si="143"/>
        <v>0</v>
      </c>
      <c r="DP31" s="612">
        <f t="shared" si="143"/>
        <v>832</v>
      </c>
      <c r="DQ31" s="613">
        <f t="shared" si="143"/>
        <v>67</v>
      </c>
      <c r="DR31" s="614">
        <f t="shared" si="143"/>
        <v>3</v>
      </c>
      <c r="DS31" s="614">
        <f t="shared" si="143"/>
        <v>67</v>
      </c>
      <c r="DT31" s="614">
        <f t="shared" si="143"/>
        <v>135</v>
      </c>
      <c r="DU31" s="614">
        <f t="shared" si="143"/>
        <v>433</v>
      </c>
      <c r="DV31" s="615">
        <f t="shared" si="143"/>
        <v>225</v>
      </c>
      <c r="DW31" s="610">
        <f t="shared" si="143"/>
        <v>0</v>
      </c>
      <c r="DX31" s="611">
        <f t="shared" si="143"/>
        <v>0</v>
      </c>
      <c r="DY31" s="612">
        <f t="shared" si="143"/>
        <v>930</v>
      </c>
      <c r="DZ31" s="613">
        <f t="shared" si="143"/>
        <v>42</v>
      </c>
      <c r="EA31" s="614">
        <f t="shared" si="143"/>
        <v>10</v>
      </c>
      <c r="EB31" s="614">
        <f t="shared" si="143"/>
        <v>54</v>
      </c>
      <c r="EC31" s="614">
        <f t="shared" si="143"/>
        <v>121</v>
      </c>
      <c r="ED31" s="614">
        <f t="shared" si="143"/>
        <v>320</v>
      </c>
      <c r="EE31" s="615">
        <f t="shared" si="143"/>
        <v>162</v>
      </c>
      <c r="EF31" s="610">
        <f t="shared" si="143"/>
        <v>0</v>
      </c>
      <c r="EG31" s="611">
        <f t="shared" si="143"/>
        <v>0</v>
      </c>
      <c r="EH31" s="637">
        <f t="shared" si="143"/>
        <v>709</v>
      </c>
      <c r="EI31" s="638">
        <f t="shared" si="143"/>
        <v>116</v>
      </c>
      <c r="EJ31" s="614">
        <f t="shared" si="143"/>
        <v>52</v>
      </c>
      <c r="EK31" s="614">
        <f t="shared" si="143"/>
        <v>82</v>
      </c>
      <c r="EL31" s="614">
        <f t="shared" si="143"/>
        <v>123</v>
      </c>
      <c r="EM31" s="614">
        <f t="shared" si="143"/>
        <v>309</v>
      </c>
      <c r="EN31" s="615">
        <f t="shared" si="143"/>
        <v>161</v>
      </c>
      <c r="EO31" s="610">
        <f t="shared" si="143"/>
        <v>0</v>
      </c>
      <c r="EP31" s="639">
        <f t="shared" si="143"/>
        <v>0</v>
      </c>
      <c r="EQ31" s="640">
        <f t="shared" si="143"/>
        <v>843</v>
      </c>
      <c r="ER31" s="641">
        <f>SUM(ER8:ER30)</f>
        <v>5065</v>
      </c>
      <c r="ES31" s="642">
        <f>SUM(ES8:ES29)</f>
        <v>4118</v>
      </c>
      <c r="ET31" s="643">
        <f>SUM(ET8:ET30)</f>
        <v>4550</v>
      </c>
      <c r="EU31" s="644">
        <f t="shared" si="11"/>
        <v>0.9050549450549451</v>
      </c>
      <c r="EW31" s="609">
        <f t="shared" ref="EW31:GO31" si="144">SUM(EW8:EW29)</f>
        <v>190</v>
      </c>
      <c r="EX31" s="614">
        <f t="shared" si="144"/>
        <v>22</v>
      </c>
      <c r="EY31" s="614">
        <f t="shared" si="144"/>
        <v>38</v>
      </c>
      <c r="EZ31" s="614">
        <f t="shared" si="144"/>
        <v>136</v>
      </c>
      <c r="FA31" s="614">
        <f t="shared" si="144"/>
        <v>206</v>
      </c>
      <c r="FB31" s="615">
        <f t="shared" si="144"/>
        <v>256</v>
      </c>
      <c r="FC31" s="610">
        <f t="shared" si="144"/>
        <v>0</v>
      </c>
      <c r="FD31" s="611">
        <f t="shared" si="144"/>
        <v>0</v>
      </c>
      <c r="FE31" s="612">
        <f t="shared" si="144"/>
        <v>848</v>
      </c>
      <c r="FF31" s="613">
        <f t="shared" si="144"/>
        <v>124</v>
      </c>
      <c r="FG31" s="614">
        <f t="shared" si="144"/>
        <v>69</v>
      </c>
      <c r="FH31" s="614">
        <f t="shared" si="144"/>
        <v>193</v>
      </c>
      <c r="FI31" s="614">
        <f t="shared" si="144"/>
        <v>142</v>
      </c>
      <c r="FJ31" s="614">
        <f t="shared" si="144"/>
        <v>196</v>
      </c>
      <c r="FK31" s="615">
        <f t="shared" si="144"/>
        <v>259</v>
      </c>
      <c r="FL31" s="610">
        <f t="shared" si="144"/>
        <v>0</v>
      </c>
      <c r="FM31" s="611">
        <f t="shared" si="144"/>
        <v>0</v>
      </c>
      <c r="FN31" s="612">
        <f t="shared" si="144"/>
        <v>983</v>
      </c>
      <c r="FO31" s="613">
        <f t="shared" si="144"/>
        <v>74</v>
      </c>
      <c r="FP31" s="614">
        <f t="shared" si="144"/>
        <v>0</v>
      </c>
      <c r="FQ31" s="614">
        <f t="shared" si="144"/>
        <v>22</v>
      </c>
      <c r="FR31" s="614">
        <f t="shared" si="144"/>
        <v>132</v>
      </c>
      <c r="FS31" s="614">
        <f t="shared" si="144"/>
        <v>329</v>
      </c>
      <c r="FT31" s="615">
        <f t="shared" si="144"/>
        <v>223</v>
      </c>
      <c r="FU31" s="610">
        <f t="shared" si="144"/>
        <v>0</v>
      </c>
      <c r="FV31" s="611">
        <f t="shared" si="144"/>
        <v>0</v>
      </c>
      <c r="FW31" s="612">
        <f t="shared" si="144"/>
        <v>780</v>
      </c>
      <c r="FX31" s="613">
        <f t="shared" si="144"/>
        <v>60</v>
      </c>
      <c r="FY31" s="614">
        <f t="shared" si="144"/>
        <v>5</v>
      </c>
      <c r="FZ31" s="614">
        <f t="shared" si="144"/>
        <v>51</v>
      </c>
      <c r="GA31" s="614">
        <f t="shared" si="144"/>
        <v>26</v>
      </c>
      <c r="GB31" s="614">
        <f t="shared" si="144"/>
        <v>369</v>
      </c>
      <c r="GC31" s="615">
        <f t="shared" si="144"/>
        <v>241</v>
      </c>
      <c r="GD31" s="610">
        <f t="shared" si="144"/>
        <v>0</v>
      </c>
      <c r="GE31" s="611">
        <f t="shared" si="144"/>
        <v>0</v>
      </c>
      <c r="GF31" s="612">
        <f t="shared" si="144"/>
        <v>752</v>
      </c>
      <c r="GG31" s="613">
        <f t="shared" si="144"/>
        <v>13</v>
      </c>
      <c r="GH31" s="614">
        <f t="shared" si="144"/>
        <v>15</v>
      </c>
      <c r="GI31" s="614">
        <f t="shared" si="144"/>
        <v>80</v>
      </c>
      <c r="GJ31" s="614">
        <f t="shared" si="144"/>
        <v>126</v>
      </c>
      <c r="GK31" s="614">
        <f t="shared" si="144"/>
        <v>490</v>
      </c>
      <c r="GL31" s="615">
        <f t="shared" si="144"/>
        <v>199</v>
      </c>
      <c r="GM31" s="610">
        <f t="shared" si="144"/>
        <v>0</v>
      </c>
      <c r="GN31" s="646">
        <f t="shared" si="144"/>
        <v>0</v>
      </c>
      <c r="GO31" s="625">
        <f t="shared" si="144"/>
        <v>923</v>
      </c>
      <c r="GP31" s="647">
        <f>SUM(GP8:GP30)</f>
        <v>5382</v>
      </c>
      <c r="GQ31" s="648">
        <f>SUM(GQ8:GQ29)</f>
        <v>4286</v>
      </c>
      <c r="GR31" s="648">
        <f>SUM(GR8:GR30)</f>
        <v>4650</v>
      </c>
      <c r="GS31" s="649">
        <f t="shared" si="14"/>
        <v>0.92172043010752691</v>
      </c>
      <c r="GT31" s="609">
        <f t="shared" ref="GT31:HL31" ca="1" si="145">SUM(GT8:GT31)</f>
        <v>0</v>
      </c>
      <c r="GU31" s="614">
        <f t="shared" ca="1" si="145"/>
        <v>0</v>
      </c>
      <c r="GV31" s="614">
        <f t="shared" ca="1" si="145"/>
        <v>0</v>
      </c>
      <c r="GW31" s="614">
        <f t="shared" ca="1" si="145"/>
        <v>0</v>
      </c>
      <c r="GX31" s="614">
        <f t="shared" ca="1" si="145"/>
        <v>0</v>
      </c>
      <c r="GY31" s="615">
        <f t="shared" ca="1" si="145"/>
        <v>0</v>
      </c>
      <c r="GZ31" s="610">
        <f t="shared" ca="1" si="145"/>
        <v>0</v>
      </c>
      <c r="HA31" s="611">
        <f t="shared" ca="1" si="145"/>
        <v>0</v>
      </c>
      <c r="HB31" s="611">
        <f t="shared" ca="1" si="145"/>
        <v>0</v>
      </c>
      <c r="HC31" s="612">
        <f t="shared" ca="1" si="145"/>
        <v>0</v>
      </c>
      <c r="HD31" s="613">
        <f t="shared" ca="1" si="145"/>
        <v>0</v>
      </c>
      <c r="HE31" s="614">
        <f t="shared" ca="1" si="145"/>
        <v>0</v>
      </c>
      <c r="HF31" s="614">
        <f t="shared" ca="1" si="145"/>
        <v>0</v>
      </c>
      <c r="HG31" s="614">
        <f t="shared" ca="1" si="145"/>
        <v>0</v>
      </c>
      <c r="HH31" s="614">
        <f t="shared" ca="1" si="145"/>
        <v>0</v>
      </c>
      <c r="HI31" s="615">
        <f t="shared" ca="1" si="145"/>
        <v>1</v>
      </c>
      <c r="HJ31" s="610">
        <f t="shared" ca="1" si="145"/>
        <v>0</v>
      </c>
      <c r="HK31" s="650">
        <f t="shared" ca="1" si="145"/>
        <v>0</v>
      </c>
      <c r="HL31" s="611">
        <f t="shared" ca="1" si="145"/>
        <v>0</v>
      </c>
      <c r="HM31" s="637">
        <f t="shared" ref="HM31:IC31" si="146">SUM(HM8:HM29)</f>
        <v>0</v>
      </c>
      <c r="HN31" s="622">
        <f t="shared" si="146"/>
        <v>0</v>
      </c>
      <c r="HO31" s="622">
        <f t="shared" si="146"/>
        <v>0</v>
      </c>
      <c r="HP31" s="622">
        <f t="shared" si="146"/>
        <v>0</v>
      </c>
      <c r="HQ31" s="622">
        <f t="shared" si="146"/>
        <v>0</v>
      </c>
      <c r="HR31" s="622">
        <f t="shared" si="146"/>
        <v>0</v>
      </c>
      <c r="HS31" s="622">
        <f t="shared" si="146"/>
        <v>0</v>
      </c>
      <c r="HT31" s="622">
        <f t="shared" si="146"/>
        <v>0</v>
      </c>
      <c r="HU31" s="622">
        <f t="shared" si="146"/>
        <v>0</v>
      </c>
      <c r="HV31" s="646">
        <f t="shared" si="146"/>
        <v>0</v>
      </c>
      <c r="HW31" s="612">
        <f t="shared" si="146"/>
        <v>0</v>
      </c>
      <c r="HX31" s="613">
        <f t="shared" si="146"/>
        <v>0</v>
      </c>
      <c r="HY31" s="614">
        <f t="shared" si="146"/>
        <v>0</v>
      </c>
      <c r="HZ31" s="614">
        <f t="shared" si="146"/>
        <v>0</v>
      </c>
      <c r="IA31" s="614">
        <f t="shared" si="146"/>
        <v>0</v>
      </c>
      <c r="IB31" s="614">
        <f t="shared" si="146"/>
        <v>0</v>
      </c>
      <c r="IC31" s="614">
        <f t="shared" si="146"/>
        <v>0</v>
      </c>
      <c r="ID31" s="610">
        <f ca="1">SUM(ID8:ID31)</f>
        <v>0</v>
      </c>
      <c r="IE31" s="611">
        <f ca="1">SUM(IE8:IE31)</f>
        <v>0</v>
      </c>
      <c r="IF31" s="611">
        <f ca="1">SUM(IF8:IF31)</f>
        <v>0</v>
      </c>
      <c r="IG31" s="612">
        <f t="shared" ref="IG31:IM31" si="147">SUM(IG8:IG29)</f>
        <v>0</v>
      </c>
      <c r="IH31" s="613">
        <f t="shared" si="147"/>
        <v>0</v>
      </c>
      <c r="II31" s="622">
        <f t="shared" si="147"/>
        <v>0</v>
      </c>
      <c r="IJ31" s="622">
        <f t="shared" si="147"/>
        <v>0</v>
      </c>
      <c r="IK31" s="622">
        <f t="shared" si="147"/>
        <v>0</v>
      </c>
      <c r="IL31" s="622">
        <f t="shared" si="147"/>
        <v>0</v>
      </c>
      <c r="IM31" s="623">
        <f t="shared" si="147"/>
        <v>0</v>
      </c>
      <c r="IN31" s="610">
        <f ca="1">SUM(IN8:IN31)</f>
        <v>0</v>
      </c>
      <c r="IO31" s="611">
        <f ca="1">SUM(IO8:IO31)</f>
        <v>0</v>
      </c>
      <c r="IP31" s="624">
        <f ca="1">SUM(IP8:IP31)</f>
        <v>0</v>
      </c>
      <c r="IQ31" s="625">
        <f>SUM(IQ8:IQ30)</f>
        <v>0</v>
      </c>
      <c r="IR31" s="651">
        <f>SUM(IR8:IR29)</f>
        <v>0</v>
      </c>
      <c r="IS31" s="652">
        <f>SUM(IS8:IS29)</f>
        <v>0</v>
      </c>
      <c r="IT31" s="653">
        <f>SUM(IT8:IT29)</f>
        <v>0</v>
      </c>
      <c r="IU31" s="654" t="e">
        <f>+IS31/IT31</f>
        <v>#DIV/0!</v>
      </c>
      <c r="IV31" s="655"/>
      <c r="IW31" s="656">
        <f>SUM(IW8:IW30)</f>
        <v>19644</v>
      </c>
      <c r="IX31" s="657">
        <f>SUM(IX8:IX29)</f>
        <v>16171</v>
      </c>
      <c r="IY31" s="657">
        <f>SUM(IY8:IY30)</f>
        <v>16950</v>
      </c>
      <c r="IZ31" s="658">
        <f t="shared" si="20"/>
        <v>0.95404129793510328</v>
      </c>
      <c r="JA31" s="659"/>
      <c r="JB31" s="660" t="s">
        <v>74</v>
      </c>
      <c r="JC31" s="661">
        <f t="shared" ref="JC31:KX31" si="148">SUM(JC8:JC29)</f>
        <v>52</v>
      </c>
      <c r="JD31" s="662">
        <f t="shared" si="148"/>
        <v>45</v>
      </c>
      <c r="JE31" s="662">
        <f t="shared" si="148"/>
        <v>74</v>
      </c>
      <c r="JF31" s="662">
        <f t="shared" si="148"/>
        <v>0</v>
      </c>
      <c r="JG31" s="662">
        <f t="shared" si="148"/>
        <v>327</v>
      </c>
      <c r="JH31" s="663">
        <f t="shared" si="148"/>
        <v>542</v>
      </c>
      <c r="JI31" s="664">
        <f t="shared" si="148"/>
        <v>0</v>
      </c>
      <c r="JJ31" s="665">
        <f t="shared" si="148"/>
        <v>22</v>
      </c>
      <c r="JK31" s="665">
        <f t="shared" si="148"/>
        <v>0</v>
      </c>
      <c r="JL31" s="666">
        <f t="shared" si="148"/>
        <v>1040</v>
      </c>
      <c r="JM31" s="667">
        <f t="shared" si="148"/>
        <v>52</v>
      </c>
      <c r="JN31" s="662">
        <f t="shared" si="148"/>
        <v>46</v>
      </c>
      <c r="JO31" s="662">
        <f t="shared" si="148"/>
        <v>74</v>
      </c>
      <c r="JP31" s="662">
        <f t="shared" si="148"/>
        <v>0</v>
      </c>
      <c r="JQ31" s="662">
        <f t="shared" si="148"/>
        <v>327</v>
      </c>
      <c r="JR31" s="663">
        <f t="shared" si="148"/>
        <v>363</v>
      </c>
      <c r="JS31" s="664">
        <f t="shared" si="148"/>
        <v>0</v>
      </c>
      <c r="JT31" s="668">
        <f t="shared" si="148"/>
        <v>81</v>
      </c>
      <c r="JU31" s="665">
        <f t="shared" si="148"/>
        <v>0</v>
      </c>
      <c r="JV31" s="666">
        <f t="shared" si="148"/>
        <v>862</v>
      </c>
      <c r="JW31" s="667">
        <f t="shared" si="148"/>
        <v>23</v>
      </c>
      <c r="JX31" s="662">
        <f t="shared" si="148"/>
        <v>35</v>
      </c>
      <c r="JY31" s="662">
        <f t="shared" si="148"/>
        <v>70</v>
      </c>
      <c r="JZ31" s="662">
        <f t="shared" si="148"/>
        <v>69</v>
      </c>
      <c r="KA31" s="662">
        <f t="shared" si="148"/>
        <v>317</v>
      </c>
      <c r="KB31" s="663">
        <f t="shared" si="148"/>
        <v>300</v>
      </c>
      <c r="KC31" s="664">
        <f t="shared" si="148"/>
        <v>0</v>
      </c>
      <c r="KD31" s="665">
        <f t="shared" si="148"/>
        <v>56</v>
      </c>
      <c r="KE31" s="665">
        <f t="shared" si="148"/>
        <v>0</v>
      </c>
      <c r="KF31" s="666">
        <f t="shared" si="148"/>
        <v>814</v>
      </c>
      <c r="KG31" s="667">
        <f t="shared" si="148"/>
        <v>32</v>
      </c>
      <c r="KH31" s="662">
        <f t="shared" si="148"/>
        <v>54</v>
      </c>
      <c r="KI31" s="662">
        <f t="shared" si="148"/>
        <v>87</v>
      </c>
      <c r="KJ31" s="662">
        <f t="shared" si="148"/>
        <v>12</v>
      </c>
      <c r="KK31" s="662">
        <f t="shared" si="148"/>
        <v>431</v>
      </c>
      <c r="KL31" s="663">
        <f t="shared" si="148"/>
        <v>237</v>
      </c>
      <c r="KM31" s="664">
        <f t="shared" si="148"/>
        <v>0</v>
      </c>
      <c r="KN31" s="665">
        <f t="shared" si="148"/>
        <v>61</v>
      </c>
      <c r="KO31" s="665">
        <f t="shared" si="148"/>
        <v>0</v>
      </c>
      <c r="KP31" s="666">
        <f t="shared" si="148"/>
        <v>853</v>
      </c>
      <c r="KQ31" s="667">
        <f t="shared" si="148"/>
        <v>14</v>
      </c>
      <c r="KR31" s="662">
        <f t="shared" si="148"/>
        <v>43</v>
      </c>
      <c r="KS31" s="662">
        <f t="shared" si="148"/>
        <v>63</v>
      </c>
      <c r="KT31" s="662">
        <f t="shared" si="148"/>
        <v>100</v>
      </c>
      <c r="KU31" s="662">
        <f t="shared" si="148"/>
        <v>346</v>
      </c>
      <c r="KV31" s="663">
        <f t="shared" si="148"/>
        <v>349</v>
      </c>
      <c r="KW31" s="664">
        <f t="shared" si="148"/>
        <v>0</v>
      </c>
      <c r="KX31" s="665">
        <f t="shared" si="148"/>
        <v>5791</v>
      </c>
      <c r="KY31" s="669">
        <f>SUM(KY24:KY29)</f>
        <v>0</v>
      </c>
      <c r="KZ31" s="670">
        <f>SUM(KZ8:KZ29)</f>
        <v>915</v>
      </c>
      <c r="LA31" s="671">
        <f>SUM(LA8:LA29)</f>
        <v>5791</v>
      </c>
      <c r="LB31" s="672">
        <f>SUM(LB8:LB29)</f>
        <v>4484</v>
      </c>
      <c r="LC31" s="673">
        <f>SUM(LC8:LC29)</f>
        <v>4596</v>
      </c>
      <c r="LD31" s="673">
        <f>SUM(LD8:LD29)</f>
        <v>-112</v>
      </c>
      <c r="LE31" s="674">
        <f>+LB31/LC31</f>
        <v>0.97563098346388166</v>
      </c>
      <c r="LF31" s="115"/>
      <c r="LG31" s="675" t="s">
        <v>75</v>
      </c>
      <c r="LH31" s="661">
        <f t="shared" ref="LH31:NI31" si="149">SUM(LH8:LH29)</f>
        <v>23</v>
      </c>
      <c r="LI31" s="662">
        <f t="shared" si="149"/>
        <v>94</v>
      </c>
      <c r="LJ31" s="662">
        <f t="shared" si="149"/>
        <v>22</v>
      </c>
      <c r="LK31" s="662">
        <f t="shared" si="149"/>
        <v>51</v>
      </c>
      <c r="LL31" s="662">
        <f t="shared" si="149"/>
        <v>350</v>
      </c>
      <c r="LM31" s="663">
        <f t="shared" si="149"/>
        <v>475</v>
      </c>
      <c r="LN31" s="664">
        <f t="shared" si="149"/>
        <v>0</v>
      </c>
      <c r="LO31" s="665">
        <f t="shared" si="149"/>
        <v>0</v>
      </c>
      <c r="LP31" s="665">
        <f t="shared" si="149"/>
        <v>0</v>
      </c>
      <c r="LQ31" s="666">
        <f t="shared" si="149"/>
        <v>1015</v>
      </c>
      <c r="LR31" s="667">
        <f t="shared" si="149"/>
        <v>17</v>
      </c>
      <c r="LS31" s="662">
        <f t="shared" si="149"/>
        <v>63</v>
      </c>
      <c r="LT31" s="662">
        <f t="shared" si="149"/>
        <v>41</v>
      </c>
      <c r="LU31" s="662">
        <f t="shared" si="149"/>
        <v>112</v>
      </c>
      <c r="LV31" s="662">
        <f t="shared" si="149"/>
        <v>272</v>
      </c>
      <c r="LW31" s="663">
        <f t="shared" si="149"/>
        <v>414</v>
      </c>
      <c r="LX31" s="664">
        <f t="shared" si="149"/>
        <v>0</v>
      </c>
      <c r="LY31" s="668">
        <f t="shared" si="149"/>
        <v>0</v>
      </c>
      <c r="LZ31" s="665">
        <f t="shared" si="149"/>
        <v>0</v>
      </c>
      <c r="MA31" s="666">
        <f t="shared" si="149"/>
        <v>919</v>
      </c>
      <c r="MB31" s="667">
        <f t="shared" si="149"/>
        <v>149</v>
      </c>
      <c r="MC31" s="662">
        <f t="shared" si="149"/>
        <v>31</v>
      </c>
      <c r="MD31" s="662">
        <f t="shared" si="149"/>
        <v>0</v>
      </c>
      <c r="ME31" s="662">
        <f t="shared" si="149"/>
        <v>14</v>
      </c>
      <c r="MF31" s="662">
        <f t="shared" si="149"/>
        <v>214</v>
      </c>
      <c r="MG31" s="663">
        <f t="shared" si="149"/>
        <v>401</v>
      </c>
      <c r="MH31" s="664">
        <f t="shared" si="149"/>
        <v>0</v>
      </c>
      <c r="MI31" s="665">
        <f t="shared" si="149"/>
        <v>0</v>
      </c>
      <c r="MJ31" s="665">
        <f t="shared" si="149"/>
        <v>0</v>
      </c>
      <c r="MK31" s="666">
        <f t="shared" si="149"/>
        <v>809</v>
      </c>
      <c r="ML31" s="667">
        <f t="shared" si="149"/>
        <v>98</v>
      </c>
      <c r="MM31" s="662">
        <f t="shared" si="149"/>
        <v>11</v>
      </c>
      <c r="MN31" s="662">
        <f t="shared" si="149"/>
        <v>85</v>
      </c>
      <c r="MO31" s="662">
        <f t="shared" si="149"/>
        <v>42</v>
      </c>
      <c r="MP31" s="662">
        <f t="shared" si="149"/>
        <v>229</v>
      </c>
      <c r="MQ31" s="663">
        <f t="shared" si="149"/>
        <v>150</v>
      </c>
      <c r="MR31" s="664">
        <f t="shared" si="149"/>
        <v>0</v>
      </c>
      <c r="MS31" s="665">
        <f t="shared" si="149"/>
        <v>0</v>
      </c>
      <c r="MT31" s="665">
        <f t="shared" si="149"/>
        <v>0</v>
      </c>
      <c r="MU31" s="666">
        <f t="shared" si="149"/>
        <v>615</v>
      </c>
      <c r="MV31" s="667">
        <f t="shared" si="149"/>
        <v>51</v>
      </c>
      <c r="MW31" s="662">
        <f t="shared" si="149"/>
        <v>22</v>
      </c>
      <c r="MX31" s="662">
        <f t="shared" si="149"/>
        <v>79</v>
      </c>
      <c r="MY31" s="662">
        <f t="shared" si="149"/>
        <v>69</v>
      </c>
      <c r="MZ31" s="662">
        <f t="shared" si="149"/>
        <v>322</v>
      </c>
      <c r="NA31" s="663">
        <f t="shared" si="149"/>
        <v>334</v>
      </c>
      <c r="NB31" s="664">
        <f t="shared" si="149"/>
        <v>0</v>
      </c>
      <c r="NC31" s="665">
        <f t="shared" si="149"/>
        <v>5881</v>
      </c>
      <c r="ND31" s="669">
        <f t="shared" si="149"/>
        <v>0</v>
      </c>
      <c r="NE31" s="670">
        <f t="shared" si="149"/>
        <v>877</v>
      </c>
      <c r="NF31" s="676">
        <f t="shared" si="149"/>
        <v>5881</v>
      </c>
      <c r="NG31" s="677">
        <f t="shared" si="149"/>
        <v>4235</v>
      </c>
      <c r="NH31" s="677">
        <f t="shared" si="149"/>
        <v>4135</v>
      </c>
      <c r="NI31" s="673">
        <f t="shared" si="149"/>
        <v>100</v>
      </c>
      <c r="NJ31" s="678">
        <f>+NG31/NH31</f>
        <v>1.0241837968561065</v>
      </c>
      <c r="NK31" s="679"/>
      <c r="NL31" s="675" t="s">
        <v>12</v>
      </c>
      <c r="NM31" s="661">
        <f t="shared" ref="NM31:PN31" si="150">SUM(NM8:NM29)</f>
        <v>56</v>
      </c>
      <c r="NN31" s="662">
        <f t="shared" si="150"/>
        <v>28</v>
      </c>
      <c r="NO31" s="662">
        <f t="shared" si="150"/>
        <v>46</v>
      </c>
      <c r="NP31" s="662">
        <f t="shared" si="150"/>
        <v>77</v>
      </c>
      <c r="NQ31" s="662">
        <f t="shared" si="150"/>
        <v>311</v>
      </c>
      <c r="NR31" s="663">
        <f t="shared" si="150"/>
        <v>202</v>
      </c>
      <c r="NS31" s="664">
        <f t="shared" si="150"/>
        <v>0</v>
      </c>
      <c r="NT31" s="665">
        <f t="shared" si="150"/>
        <v>0</v>
      </c>
      <c r="NU31" s="665">
        <f t="shared" si="150"/>
        <v>0</v>
      </c>
      <c r="NV31" s="666">
        <f t="shared" si="150"/>
        <v>720</v>
      </c>
      <c r="NW31" s="667">
        <f t="shared" si="150"/>
        <v>83</v>
      </c>
      <c r="NX31" s="662">
        <f t="shared" si="150"/>
        <v>86</v>
      </c>
      <c r="NY31" s="662">
        <f t="shared" si="150"/>
        <v>69</v>
      </c>
      <c r="NZ31" s="662">
        <f t="shared" si="150"/>
        <v>314</v>
      </c>
      <c r="OA31" s="662">
        <f t="shared" si="150"/>
        <v>273</v>
      </c>
      <c r="OB31" s="663">
        <f t="shared" si="150"/>
        <v>175</v>
      </c>
      <c r="OC31" s="664">
        <f t="shared" si="150"/>
        <v>0</v>
      </c>
      <c r="OD31" s="668">
        <f t="shared" si="150"/>
        <v>0</v>
      </c>
      <c r="OE31" s="665">
        <f t="shared" si="150"/>
        <v>0</v>
      </c>
      <c r="OF31" s="666">
        <f t="shared" si="150"/>
        <v>1000</v>
      </c>
      <c r="OG31" s="667">
        <f t="shared" si="150"/>
        <v>57</v>
      </c>
      <c r="OH31" s="662">
        <f t="shared" si="150"/>
        <v>67</v>
      </c>
      <c r="OI31" s="662">
        <f t="shared" si="150"/>
        <v>53</v>
      </c>
      <c r="OJ31" s="662">
        <f t="shared" si="150"/>
        <v>190</v>
      </c>
      <c r="OK31" s="662">
        <f t="shared" si="150"/>
        <v>356</v>
      </c>
      <c r="OL31" s="663">
        <f t="shared" si="150"/>
        <v>291</v>
      </c>
      <c r="OM31" s="664">
        <f t="shared" si="150"/>
        <v>0</v>
      </c>
      <c r="ON31" s="665">
        <f t="shared" si="150"/>
        <v>0</v>
      </c>
      <c r="OO31" s="665">
        <f t="shared" si="150"/>
        <v>0</v>
      </c>
      <c r="OP31" s="666">
        <f t="shared" si="150"/>
        <v>1014</v>
      </c>
      <c r="OQ31" s="667">
        <f t="shared" si="150"/>
        <v>0</v>
      </c>
      <c r="OR31" s="662">
        <f t="shared" si="150"/>
        <v>46</v>
      </c>
      <c r="OS31" s="662">
        <f t="shared" si="150"/>
        <v>70</v>
      </c>
      <c r="OT31" s="662">
        <f t="shared" si="150"/>
        <v>173</v>
      </c>
      <c r="OU31" s="662">
        <f t="shared" si="150"/>
        <v>286</v>
      </c>
      <c r="OV31" s="663">
        <f t="shared" si="150"/>
        <v>349</v>
      </c>
      <c r="OW31" s="664">
        <f t="shared" si="150"/>
        <v>0</v>
      </c>
      <c r="OX31" s="665">
        <f t="shared" si="150"/>
        <v>0</v>
      </c>
      <c r="OY31" s="665">
        <f t="shared" si="150"/>
        <v>0</v>
      </c>
      <c r="OZ31" s="666">
        <f t="shared" si="150"/>
        <v>924</v>
      </c>
      <c r="PA31" s="667">
        <f t="shared" si="150"/>
        <v>18</v>
      </c>
      <c r="PB31" s="662">
        <f t="shared" si="150"/>
        <v>24</v>
      </c>
      <c r="PC31" s="662">
        <f t="shared" si="150"/>
        <v>35</v>
      </c>
      <c r="PD31" s="662">
        <f t="shared" si="150"/>
        <v>196</v>
      </c>
      <c r="PE31" s="662">
        <f t="shared" si="150"/>
        <v>292</v>
      </c>
      <c r="PF31" s="663">
        <f t="shared" si="150"/>
        <v>191</v>
      </c>
      <c r="PG31" s="664">
        <f t="shared" si="150"/>
        <v>0</v>
      </c>
      <c r="PH31" s="665">
        <f t="shared" si="150"/>
        <v>0</v>
      </c>
      <c r="PI31" s="669">
        <f t="shared" si="150"/>
        <v>0</v>
      </c>
      <c r="PJ31" s="670">
        <f t="shared" si="150"/>
        <v>756</v>
      </c>
      <c r="PK31" s="680">
        <f t="shared" si="150"/>
        <v>0</v>
      </c>
      <c r="PL31" s="681">
        <f t="shared" si="150"/>
        <v>4414</v>
      </c>
      <c r="PM31" s="681">
        <f t="shared" si="150"/>
        <v>4350</v>
      </c>
      <c r="PN31" s="681">
        <f t="shared" si="150"/>
        <v>64</v>
      </c>
      <c r="PO31" s="682">
        <f>+PL31/PM31</f>
        <v>1.0147126436781608</v>
      </c>
      <c r="PP31" s="679"/>
      <c r="PQ31" s="675" t="s">
        <v>76</v>
      </c>
      <c r="PR31" s="661">
        <f t="shared" ref="PR31:RS31" si="151">SUM(PR8:PR29)</f>
        <v>60</v>
      </c>
      <c r="PS31" s="662">
        <f t="shared" si="151"/>
        <v>64</v>
      </c>
      <c r="PT31" s="662">
        <f t="shared" si="151"/>
        <v>54</v>
      </c>
      <c r="PU31" s="662">
        <f t="shared" si="151"/>
        <v>204</v>
      </c>
      <c r="PV31" s="662">
        <f t="shared" si="151"/>
        <v>365</v>
      </c>
      <c r="PW31" s="663">
        <f t="shared" si="151"/>
        <v>252</v>
      </c>
      <c r="PX31" s="664">
        <f t="shared" si="151"/>
        <v>0</v>
      </c>
      <c r="PY31" s="665">
        <f t="shared" si="151"/>
        <v>0</v>
      </c>
      <c r="PZ31" s="665">
        <f t="shared" si="151"/>
        <v>0</v>
      </c>
      <c r="QA31" s="666">
        <f t="shared" si="151"/>
        <v>999</v>
      </c>
      <c r="QB31" s="667">
        <f t="shared" si="151"/>
        <v>96</v>
      </c>
      <c r="QC31" s="662">
        <f t="shared" si="151"/>
        <v>22</v>
      </c>
      <c r="QD31" s="662">
        <f t="shared" si="151"/>
        <v>54</v>
      </c>
      <c r="QE31" s="662">
        <f t="shared" si="151"/>
        <v>153</v>
      </c>
      <c r="QF31" s="662">
        <f t="shared" si="151"/>
        <v>131</v>
      </c>
      <c r="QG31" s="663">
        <f t="shared" si="151"/>
        <v>143</v>
      </c>
      <c r="QH31" s="664">
        <f t="shared" si="151"/>
        <v>2</v>
      </c>
      <c r="QI31" s="668">
        <f t="shared" si="151"/>
        <v>0</v>
      </c>
      <c r="QJ31" s="665">
        <f t="shared" si="151"/>
        <v>0</v>
      </c>
      <c r="QK31" s="666">
        <f t="shared" si="151"/>
        <v>599</v>
      </c>
      <c r="QL31" s="667">
        <f t="shared" si="151"/>
        <v>43</v>
      </c>
      <c r="QM31" s="662">
        <f t="shared" si="151"/>
        <v>115</v>
      </c>
      <c r="QN31" s="662">
        <f t="shared" si="151"/>
        <v>60</v>
      </c>
      <c r="QO31" s="662">
        <f t="shared" si="151"/>
        <v>190</v>
      </c>
      <c r="QP31" s="662">
        <f t="shared" si="151"/>
        <v>212</v>
      </c>
      <c r="QQ31" s="663">
        <f t="shared" si="151"/>
        <v>216</v>
      </c>
      <c r="QR31" s="664">
        <f t="shared" si="151"/>
        <v>0</v>
      </c>
      <c r="QS31" s="665">
        <f t="shared" si="151"/>
        <v>0</v>
      </c>
      <c r="QT31" s="665">
        <f t="shared" si="151"/>
        <v>0</v>
      </c>
      <c r="QU31" s="666">
        <f t="shared" si="151"/>
        <v>836</v>
      </c>
      <c r="QV31" s="667">
        <f t="shared" si="151"/>
        <v>47</v>
      </c>
      <c r="QW31" s="662">
        <f t="shared" si="151"/>
        <v>162</v>
      </c>
      <c r="QX31" s="662">
        <f t="shared" si="151"/>
        <v>70</v>
      </c>
      <c r="QY31" s="662">
        <f t="shared" si="151"/>
        <v>199</v>
      </c>
      <c r="QZ31" s="662">
        <f t="shared" si="151"/>
        <v>196</v>
      </c>
      <c r="RA31" s="663">
        <f t="shared" si="151"/>
        <v>300</v>
      </c>
      <c r="RB31" s="664">
        <f t="shared" si="151"/>
        <v>0</v>
      </c>
      <c r="RC31" s="665">
        <f t="shared" si="151"/>
        <v>0</v>
      </c>
      <c r="RD31" s="665">
        <f t="shared" si="151"/>
        <v>0</v>
      </c>
      <c r="RE31" s="666">
        <f t="shared" si="151"/>
        <v>974</v>
      </c>
      <c r="RF31" s="667">
        <f t="shared" si="151"/>
        <v>24</v>
      </c>
      <c r="RG31" s="662">
        <f t="shared" si="151"/>
        <v>100</v>
      </c>
      <c r="RH31" s="662">
        <f t="shared" si="151"/>
        <v>80</v>
      </c>
      <c r="RI31" s="662">
        <f t="shared" si="151"/>
        <v>225</v>
      </c>
      <c r="RJ31" s="662">
        <f t="shared" si="151"/>
        <v>213</v>
      </c>
      <c r="RK31" s="663">
        <f t="shared" si="151"/>
        <v>283</v>
      </c>
      <c r="RL31" s="664">
        <f t="shared" si="151"/>
        <v>0</v>
      </c>
      <c r="RM31" s="665">
        <f t="shared" si="151"/>
        <v>5186</v>
      </c>
      <c r="RN31" s="669">
        <f t="shared" si="151"/>
        <v>0</v>
      </c>
      <c r="RO31" s="670">
        <f t="shared" si="151"/>
        <v>925</v>
      </c>
      <c r="RP31" s="683">
        <f t="shared" si="151"/>
        <v>5186</v>
      </c>
      <c r="RQ31" s="684">
        <f t="shared" si="151"/>
        <v>4333</v>
      </c>
      <c r="RR31" s="684">
        <f t="shared" si="151"/>
        <v>4350</v>
      </c>
      <c r="RS31" s="673">
        <f t="shared" si="151"/>
        <v>-17</v>
      </c>
      <c r="RT31" s="685">
        <f>+RQ31/RR31</f>
        <v>0.99609195402298856</v>
      </c>
      <c r="RU31" s="686"/>
      <c r="RV31" s="687">
        <f>SUM(RV8:RV29)</f>
        <v>16858</v>
      </c>
      <c r="RW31" s="688">
        <f>SUM(RW8:RW29)</f>
        <v>17466</v>
      </c>
      <c r="RX31" s="688">
        <f>SUM(RX8:RX29)</f>
        <v>17431</v>
      </c>
      <c r="RY31" s="689">
        <f>+RW31/RX31</f>
        <v>1.0020079169296081</v>
      </c>
      <c r="SA31" s="690" t="s">
        <v>77</v>
      </c>
      <c r="SB31" s="691">
        <f t="shared" ref="SB31:UB31" si="152">SUM(SB8:SB30)</f>
        <v>93</v>
      </c>
      <c r="SC31" s="692">
        <f t="shared" si="152"/>
        <v>18</v>
      </c>
      <c r="SD31" s="692">
        <f t="shared" si="152"/>
        <v>0</v>
      </c>
      <c r="SE31" s="692">
        <f t="shared" si="152"/>
        <v>0</v>
      </c>
      <c r="SF31" s="692">
        <f t="shared" si="152"/>
        <v>322</v>
      </c>
      <c r="SG31" s="692">
        <f t="shared" si="152"/>
        <v>259</v>
      </c>
      <c r="SH31" s="693">
        <f t="shared" si="152"/>
        <v>0</v>
      </c>
      <c r="SI31" s="694">
        <f t="shared" si="152"/>
        <v>8</v>
      </c>
      <c r="SJ31" s="694">
        <f t="shared" si="152"/>
        <v>15</v>
      </c>
      <c r="SK31" s="695">
        <f t="shared" si="152"/>
        <v>692</v>
      </c>
      <c r="SL31" s="692">
        <f t="shared" si="152"/>
        <v>45</v>
      </c>
      <c r="SM31" s="692">
        <f t="shared" si="152"/>
        <v>108</v>
      </c>
      <c r="SN31" s="692">
        <f t="shared" si="152"/>
        <v>27</v>
      </c>
      <c r="SO31" s="692">
        <f t="shared" si="152"/>
        <v>0</v>
      </c>
      <c r="SP31" s="692">
        <f t="shared" si="152"/>
        <v>229</v>
      </c>
      <c r="SQ31" s="692">
        <f t="shared" si="152"/>
        <v>330</v>
      </c>
      <c r="SR31" s="693">
        <f t="shared" si="152"/>
        <v>0</v>
      </c>
      <c r="SS31" s="696">
        <f t="shared" si="152"/>
        <v>3</v>
      </c>
      <c r="ST31" s="694">
        <f t="shared" si="152"/>
        <v>0</v>
      </c>
      <c r="SU31" s="695">
        <f t="shared" si="152"/>
        <v>739</v>
      </c>
      <c r="SV31" s="692">
        <f t="shared" si="152"/>
        <v>41</v>
      </c>
      <c r="SW31" s="692">
        <f t="shared" si="152"/>
        <v>64</v>
      </c>
      <c r="SX31" s="692">
        <f t="shared" si="152"/>
        <v>56</v>
      </c>
      <c r="SY31" s="692">
        <f t="shared" si="152"/>
        <v>0</v>
      </c>
      <c r="SZ31" s="692">
        <f t="shared" si="152"/>
        <v>396</v>
      </c>
      <c r="TA31" s="692">
        <f t="shared" si="152"/>
        <v>338</v>
      </c>
      <c r="TB31" s="697">
        <f t="shared" si="152"/>
        <v>0</v>
      </c>
      <c r="TC31" s="694">
        <f t="shared" si="152"/>
        <v>0</v>
      </c>
      <c r="TD31" s="694">
        <f t="shared" si="152"/>
        <v>0</v>
      </c>
      <c r="TE31" s="695">
        <f t="shared" si="152"/>
        <v>895</v>
      </c>
      <c r="TF31" s="692">
        <f t="shared" si="152"/>
        <v>45</v>
      </c>
      <c r="TG31" s="692">
        <f t="shared" si="152"/>
        <v>43</v>
      </c>
      <c r="TH31" s="692">
        <f t="shared" si="152"/>
        <v>44</v>
      </c>
      <c r="TI31" s="692">
        <f t="shared" si="152"/>
        <v>0</v>
      </c>
      <c r="TJ31" s="692">
        <f t="shared" si="152"/>
        <v>214</v>
      </c>
      <c r="TK31" s="692">
        <f t="shared" si="152"/>
        <v>402</v>
      </c>
      <c r="TL31" s="697">
        <f t="shared" si="152"/>
        <v>0</v>
      </c>
      <c r="TM31" s="694">
        <f t="shared" si="152"/>
        <v>0</v>
      </c>
      <c r="TN31" s="694">
        <f t="shared" si="152"/>
        <v>0</v>
      </c>
      <c r="TO31" s="695">
        <f t="shared" si="152"/>
        <v>748</v>
      </c>
      <c r="TP31" s="692">
        <f t="shared" si="152"/>
        <v>23</v>
      </c>
      <c r="TQ31" s="692">
        <f t="shared" si="152"/>
        <v>66</v>
      </c>
      <c r="TR31" s="692">
        <f t="shared" si="152"/>
        <v>28</v>
      </c>
      <c r="TS31" s="692">
        <f t="shared" si="152"/>
        <v>123</v>
      </c>
      <c r="TT31" s="692">
        <f t="shared" si="152"/>
        <v>317</v>
      </c>
      <c r="TU31" s="692">
        <f t="shared" si="152"/>
        <v>325</v>
      </c>
      <c r="TV31" s="693">
        <f t="shared" si="152"/>
        <v>0</v>
      </c>
      <c r="TW31" s="694">
        <f t="shared" si="152"/>
        <v>0</v>
      </c>
      <c r="TX31" s="698">
        <f t="shared" si="152"/>
        <v>0</v>
      </c>
      <c r="TY31" s="699">
        <f t="shared" si="152"/>
        <v>882</v>
      </c>
      <c r="TZ31" s="700">
        <f t="shared" si="152"/>
        <v>15</v>
      </c>
      <c r="UA31" s="673">
        <f t="shared" si="152"/>
        <v>3956</v>
      </c>
      <c r="UB31" s="673">
        <f t="shared" si="152"/>
        <v>4770</v>
      </c>
      <c r="UC31" s="701">
        <f>+UA31/UB31</f>
        <v>0.82935010482180294</v>
      </c>
      <c r="UD31" s="686"/>
      <c r="UE31" s="702" t="s">
        <v>19</v>
      </c>
      <c r="UF31" s="691">
        <f t="shared" ref="UF31:WD31" si="153">SUM(UF8:UF30)</f>
        <v>3</v>
      </c>
      <c r="UG31" s="692">
        <f t="shared" si="153"/>
        <v>39</v>
      </c>
      <c r="UH31" s="692">
        <f t="shared" si="153"/>
        <v>28</v>
      </c>
      <c r="UI31" s="692">
        <f t="shared" si="153"/>
        <v>134</v>
      </c>
      <c r="UJ31" s="692">
        <f t="shared" si="153"/>
        <v>345</v>
      </c>
      <c r="UK31" s="692">
        <f t="shared" si="153"/>
        <v>389</v>
      </c>
      <c r="UL31" s="693">
        <f t="shared" si="153"/>
        <v>0</v>
      </c>
      <c r="UM31" s="696">
        <f t="shared" si="153"/>
        <v>8</v>
      </c>
      <c r="UN31" s="696">
        <f t="shared" si="153"/>
        <v>0</v>
      </c>
      <c r="UO31" s="703">
        <f t="shared" si="153"/>
        <v>938</v>
      </c>
      <c r="UP31" s="692">
        <f t="shared" si="153"/>
        <v>5</v>
      </c>
      <c r="UQ31" s="692">
        <f t="shared" si="153"/>
        <v>19</v>
      </c>
      <c r="UR31" s="692">
        <f t="shared" si="153"/>
        <v>61</v>
      </c>
      <c r="US31" s="692">
        <f t="shared" si="153"/>
        <v>134</v>
      </c>
      <c r="UT31" s="692">
        <f t="shared" si="153"/>
        <v>254</v>
      </c>
      <c r="UU31" s="692">
        <f t="shared" si="153"/>
        <v>366</v>
      </c>
      <c r="UV31" s="693">
        <f t="shared" si="153"/>
        <v>0</v>
      </c>
      <c r="UW31" s="696">
        <f t="shared" si="153"/>
        <v>3</v>
      </c>
      <c r="UX31" s="696">
        <f t="shared" si="153"/>
        <v>0</v>
      </c>
      <c r="UY31" s="703">
        <f t="shared" si="153"/>
        <v>839</v>
      </c>
      <c r="UZ31" s="692">
        <f t="shared" si="153"/>
        <v>31</v>
      </c>
      <c r="VA31" s="692">
        <f t="shared" si="153"/>
        <v>105</v>
      </c>
      <c r="VB31" s="692">
        <f t="shared" si="153"/>
        <v>67</v>
      </c>
      <c r="VC31" s="692">
        <f t="shared" si="153"/>
        <v>145</v>
      </c>
      <c r="VD31" s="692">
        <f t="shared" si="153"/>
        <v>190</v>
      </c>
      <c r="VE31" s="692">
        <f t="shared" si="153"/>
        <v>329</v>
      </c>
      <c r="VF31" s="697">
        <f t="shared" si="153"/>
        <v>0</v>
      </c>
      <c r="VG31" s="696">
        <f t="shared" si="153"/>
        <v>0</v>
      </c>
      <c r="VH31" s="696">
        <f t="shared" si="153"/>
        <v>0</v>
      </c>
      <c r="VI31" s="703">
        <f t="shared" si="153"/>
        <v>867</v>
      </c>
      <c r="VJ31" s="692">
        <f t="shared" si="153"/>
        <v>23</v>
      </c>
      <c r="VK31" s="692">
        <f t="shared" si="153"/>
        <v>23</v>
      </c>
      <c r="VL31" s="692">
        <f t="shared" si="153"/>
        <v>51</v>
      </c>
      <c r="VM31" s="692">
        <f t="shared" si="153"/>
        <v>588</v>
      </c>
      <c r="VN31" s="692">
        <f t="shared" si="153"/>
        <v>134</v>
      </c>
      <c r="VO31" s="692">
        <f t="shared" si="153"/>
        <v>259</v>
      </c>
      <c r="VP31" s="697">
        <f t="shared" si="153"/>
        <v>0</v>
      </c>
      <c r="VQ31" s="696">
        <f t="shared" si="153"/>
        <v>0</v>
      </c>
      <c r="VR31" s="696">
        <f t="shared" si="153"/>
        <v>0</v>
      </c>
      <c r="VS31" s="703">
        <f t="shared" si="153"/>
        <v>1078</v>
      </c>
      <c r="VT31" s="692">
        <f t="shared" si="153"/>
        <v>34</v>
      </c>
      <c r="VU31" s="692">
        <f t="shared" si="153"/>
        <v>57</v>
      </c>
      <c r="VV31" s="692">
        <f t="shared" si="153"/>
        <v>40</v>
      </c>
      <c r="VW31" s="692">
        <f t="shared" si="153"/>
        <v>0</v>
      </c>
      <c r="VX31" s="692">
        <f t="shared" si="153"/>
        <v>257</v>
      </c>
      <c r="VY31" s="692">
        <f t="shared" si="153"/>
        <v>372</v>
      </c>
      <c r="VZ31" s="693">
        <f t="shared" si="153"/>
        <v>0</v>
      </c>
      <c r="WA31" s="696">
        <f t="shared" si="153"/>
        <v>0</v>
      </c>
      <c r="WB31" s="696">
        <f t="shared" si="153"/>
        <v>0</v>
      </c>
      <c r="WC31" s="704">
        <f t="shared" si="153"/>
        <v>760</v>
      </c>
      <c r="WD31" s="705">
        <f t="shared" si="153"/>
        <v>0</v>
      </c>
      <c r="WE31" s="677">
        <f>+WC31+VS31+VI31+UY31+UO31</f>
        <v>4482</v>
      </c>
      <c r="WF31" s="677">
        <f>SUM(WF8:WF30)</f>
        <v>4398</v>
      </c>
      <c r="WG31" s="706">
        <f>+WE31/WF31</f>
        <v>1.019099590723056</v>
      </c>
      <c r="WH31" s="84"/>
      <c r="WI31" s="707" t="s">
        <v>78</v>
      </c>
      <c r="WJ31" s="691">
        <f t="shared" ref="WJ31:YJ31" si="154">SUM(WJ8:WJ30)</f>
        <v>24</v>
      </c>
      <c r="WK31" s="692">
        <f t="shared" si="154"/>
        <v>107</v>
      </c>
      <c r="WL31" s="692">
        <f t="shared" si="154"/>
        <v>0</v>
      </c>
      <c r="WM31" s="692">
        <f t="shared" si="154"/>
        <v>393</v>
      </c>
      <c r="WN31" s="692">
        <f t="shared" si="154"/>
        <v>307</v>
      </c>
      <c r="WO31" s="692">
        <f t="shared" si="154"/>
        <v>238</v>
      </c>
      <c r="WP31" s="693">
        <f t="shared" si="154"/>
        <v>0</v>
      </c>
      <c r="WQ31" s="696">
        <f t="shared" si="154"/>
        <v>0</v>
      </c>
      <c r="WR31" s="696">
        <f t="shared" si="154"/>
        <v>0</v>
      </c>
      <c r="WS31" s="703">
        <f t="shared" si="154"/>
        <v>1069</v>
      </c>
      <c r="WT31" s="692">
        <f t="shared" si="154"/>
        <v>1</v>
      </c>
      <c r="WU31" s="692">
        <f t="shared" si="154"/>
        <v>26</v>
      </c>
      <c r="WV31" s="692">
        <f t="shared" si="154"/>
        <v>61</v>
      </c>
      <c r="WW31" s="692">
        <f t="shared" si="154"/>
        <v>673</v>
      </c>
      <c r="WX31" s="692">
        <f t="shared" si="154"/>
        <v>211</v>
      </c>
      <c r="WY31" s="692">
        <f t="shared" si="154"/>
        <v>227</v>
      </c>
      <c r="WZ31" s="693">
        <f t="shared" si="154"/>
        <v>0</v>
      </c>
      <c r="XA31" s="696">
        <f t="shared" si="154"/>
        <v>0</v>
      </c>
      <c r="XB31" s="696">
        <f t="shared" si="154"/>
        <v>0</v>
      </c>
      <c r="XC31" s="703">
        <f t="shared" si="154"/>
        <v>1199</v>
      </c>
      <c r="XD31" s="692">
        <f t="shared" si="154"/>
        <v>59</v>
      </c>
      <c r="XE31" s="692">
        <f t="shared" si="154"/>
        <v>69</v>
      </c>
      <c r="XF31" s="692">
        <f t="shared" si="154"/>
        <v>5</v>
      </c>
      <c r="XG31" s="692">
        <f t="shared" si="154"/>
        <v>729</v>
      </c>
      <c r="XH31" s="692">
        <f t="shared" si="154"/>
        <v>147</v>
      </c>
      <c r="XI31" s="692">
        <f t="shared" si="154"/>
        <v>341</v>
      </c>
      <c r="XJ31" s="697">
        <f t="shared" si="154"/>
        <v>0</v>
      </c>
      <c r="XK31" s="696">
        <f t="shared" si="154"/>
        <v>0</v>
      </c>
      <c r="XL31" s="696">
        <f t="shared" si="154"/>
        <v>0</v>
      </c>
      <c r="XM31" s="703">
        <f t="shared" si="154"/>
        <v>1350</v>
      </c>
      <c r="XN31" s="692">
        <f t="shared" si="154"/>
        <v>21</v>
      </c>
      <c r="XO31" s="692">
        <f t="shared" si="154"/>
        <v>34</v>
      </c>
      <c r="XP31" s="692">
        <f t="shared" si="154"/>
        <v>69</v>
      </c>
      <c r="XQ31" s="692">
        <f t="shared" si="154"/>
        <v>692</v>
      </c>
      <c r="XR31" s="692">
        <f t="shared" si="154"/>
        <v>228</v>
      </c>
      <c r="XS31" s="692">
        <f t="shared" si="154"/>
        <v>284</v>
      </c>
      <c r="XT31" s="697">
        <f t="shared" si="154"/>
        <v>0</v>
      </c>
      <c r="XU31" s="696">
        <f t="shared" si="154"/>
        <v>0</v>
      </c>
      <c r="XV31" s="696">
        <f t="shared" si="154"/>
        <v>0</v>
      </c>
      <c r="XW31" s="703">
        <f t="shared" si="154"/>
        <v>1328</v>
      </c>
      <c r="XX31" s="692">
        <f t="shared" si="154"/>
        <v>15</v>
      </c>
      <c r="XY31" s="692">
        <f t="shared" si="154"/>
        <v>24</v>
      </c>
      <c r="XZ31" s="692">
        <f t="shared" si="154"/>
        <v>64</v>
      </c>
      <c r="YA31" s="692">
        <f t="shared" si="154"/>
        <v>773</v>
      </c>
      <c r="YB31" s="692">
        <f t="shared" si="154"/>
        <v>237</v>
      </c>
      <c r="YC31" s="692">
        <f t="shared" si="154"/>
        <v>243</v>
      </c>
      <c r="YD31" s="693">
        <f t="shared" si="154"/>
        <v>0</v>
      </c>
      <c r="YE31" s="696">
        <f t="shared" si="154"/>
        <v>0</v>
      </c>
      <c r="YF31" s="696">
        <f t="shared" si="154"/>
        <v>0</v>
      </c>
      <c r="YG31" s="704">
        <f t="shared" si="154"/>
        <v>1356</v>
      </c>
      <c r="YH31" s="708">
        <f t="shared" si="154"/>
        <v>0</v>
      </c>
      <c r="YI31" s="680">
        <f t="shared" si="154"/>
        <v>6302</v>
      </c>
      <c r="YJ31" s="681">
        <f t="shared" si="154"/>
        <v>6551</v>
      </c>
      <c r="YK31" s="709">
        <f>+YI31/YJ31</f>
        <v>0.96199053579606164</v>
      </c>
      <c r="YL31" s="710"/>
      <c r="YM31" s="711">
        <f t="shared" ref="YM31:AAL31" si="155">SUM(YM8:YM30)</f>
        <v>79</v>
      </c>
      <c r="YN31" s="692">
        <f t="shared" si="155"/>
        <v>23</v>
      </c>
      <c r="YO31" s="692">
        <f t="shared" si="155"/>
        <v>39</v>
      </c>
      <c r="YP31" s="692">
        <f t="shared" si="155"/>
        <v>325</v>
      </c>
      <c r="YQ31" s="692">
        <f t="shared" si="155"/>
        <v>176</v>
      </c>
      <c r="YR31" s="692">
        <f t="shared" si="155"/>
        <v>391</v>
      </c>
      <c r="YS31" s="693">
        <f t="shared" si="155"/>
        <v>0</v>
      </c>
      <c r="YT31" s="696">
        <f t="shared" si="155"/>
        <v>0</v>
      </c>
      <c r="YU31" s="696">
        <f t="shared" si="155"/>
        <v>0</v>
      </c>
      <c r="YV31" s="712">
        <f t="shared" si="155"/>
        <v>1033</v>
      </c>
      <c r="YW31" s="713">
        <f t="shared" si="155"/>
        <v>30</v>
      </c>
      <c r="YX31" s="713">
        <f t="shared" si="155"/>
        <v>68</v>
      </c>
      <c r="YY31" s="713">
        <f t="shared" si="155"/>
        <v>43</v>
      </c>
      <c r="YZ31" s="713">
        <f t="shared" si="155"/>
        <v>93</v>
      </c>
      <c r="ZA31" s="713">
        <f t="shared" si="155"/>
        <v>130</v>
      </c>
      <c r="ZB31" s="713">
        <f t="shared" si="155"/>
        <v>266</v>
      </c>
      <c r="ZC31" s="714">
        <f t="shared" si="155"/>
        <v>0</v>
      </c>
      <c r="ZD31" s="715">
        <f t="shared" si="155"/>
        <v>2</v>
      </c>
      <c r="ZE31" s="715">
        <f t="shared" si="155"/>
        <v>0</v>
      </c>
      <c r="ZF31" s="712">
        <f t="shared" si="155"/>
        <v>630</v>
      </c>
      <c r="ZG31" s="713">
        <f t="shared" si="155"/>
        <v>26</v>
      </c>
      <c r="ZH31" s="713">
        <f t="shared" si="155"/>
        <v>42</v>
      </c>
      <c r="ZI31" s="713">
        <f t="shared" si="155"/>
        <v>26</v>
      </c>
      <c r="ZJ31" s="713">
        <f t="shared" si="155"/>
        <v>213</v>
      </c>
      <c r="ZK31" s="713">
        <f t="shared" si="155"/>
        <v>161</v>
      </c>
      <c r="ZL31" s="713">
        <f t="shared" si="155"/>
        <v>435</v>
      </c>
      <c r="ZM31" s="714">
        <f t="shared" si="155"/>
        <v>0</v>
      </c>
      <c r="ZN31" s="716">
        <f t="shared" si="155"/>
        <v>0</v>
      </c>
      <c r="ZO31" s="717">
        <f t="shared" si="155"/>
        <v>0</v>
      </c>
      <c r="ZP31" s="712">
        <f t="shared" si="155"/>
        <v>903</v>
      </c>
      <c r="ZQ31" s="713">
        <f t="shared" si="155"/>
        <v>16</v>
      </c>
      <c r="ZR31" s="713">
        <f t="shared" si="155"/>
        <v>56</v>
      </c>
      <c r="ZS31" s="713">
        <f t="shared" si="155"/>
        <v>27</v>
      </c>
      <c r="ZT31" s="713">
        <f t="shared" si="155"/>
        <v>319</v>
      </c>
      <c r="ZU31" s="713">
        <f t="shared" si="155"/>
        <v>106</v>
      </c>
      <c r="ZV31" s="713">
        <f t="shared" si="155"/>
        <v>265</v>
      </c>
      <c r="ZW31" s="714">
        <f t="shared" si="155"/>
        <v>0</v>
      </c>
      <c r="ZX31" s="716">
        <f t="shared" si="155"/>
        <v>3</v>
      </c>
      <c r="ZY31" s="717">
        <f t="shared" si="155"/>
        <v>0</v>
      </c>
      <c r="ZZ31" s="712">
        <f t="shared" si="155"/>
        <v>789</v>
      </c>
      <c r="AAA31" s="713">
        <f t="shared" si="155"/>
        <v>0</v>
      </c>
      <c r="AAB31" s="713">
        <f t="shared" si="155"/>
        <v>19</v>
      </c>
      <c r="AAC31" s="713">
        <f t="shared" si="155"/>
        <v>68</v>
      </c>
      <c r="AAD31" s="713">
        <f t="shared" si="155"/>
        <v>272</v>
      </c>
      <c r="AAE31" s="713">
        <f t="shared" si="155"/>
        <v>90</v>
      </c>
      <c r="AAF31" s="713">
        <f t="shared" si="155"/>
        <v>307</v>
      </c>
      <c r="AAG31" s="714">
        <f t="shared" si="155"/>
        <v>0</v>
      </c>
      <c r="AAH31" s="715">
        <f t="shared" si="155"/>
        <v>1</v>
      </c>
      <c r="AAI31" s="718">
        <f t="shared" si="155"/>
        <v>0</v>
      </c>
      <c r="AAJ31" s="719">
        <f t="shared" si="155"/>
        <v>756</v>
      </c>
      <c r="AAK31" s="720">
        <f t="shared" si="155"/>
        <v>4111</v>
      </c>
      <c r="AAL31" s="720">
        <f t="shared" si="155"/>
        <v>4423</v>
      </c>
      <c r="AAM31" s="721">
        <f>+AAK31/AAL31</f>
        <v>0.92945964277639614</v>
      </c>
      <c r="AAN31" s="722" t="s">
        <v>79</v>
      </c>
      <c r="AAO31" s="691">
        <f t="shared" ref="AAO31:AAW31" si="156">SUM(AAO8:AAO30)</f>
        <v>0</v>
      </c>
      <c r="AAP31" s="692">
        <f t="shared" si="156"/>
        <v>0</v>
      </c>
      <c r="AAQ31" s="692">
        <f t="shared" si="156"/>
        <v>0</v>
      </c>
      <c r="AAR31" s="692">
        <f t="shared" si="156"/>
        <v>0</v>
      </c>
      <c r="AAS31" s="692">
        <f t="shared" si="156"/>
        <v>0</v>
      </c>
      <c r="AAT31" s="692">
        <f t="shared" si="156"/>
        <v>0</v>
      </c>
      <c r="AAU31" s="693">
        <f t="shared" si="156"/>
        <v>0</v>
      </c>
      <c r="AAV31" s="723">
        <f t="shared" si="156"/>
        <v>0</v>
      </c>
      <c r="AAW31" s="724">
        <f t="shared" si="156"/>
        <v>0</v>
      </c>
      <c r="AAX31" s="725"/>
      <c r="AAY31" s="703">
        <f t="shared" ref="AAY31:ACM31" si="157">SUM(AAY8:AAY30)</f>
        <v>0</v>
      </c>
      <c r="AAZ31" s="692">
        <f t="shared" si="157"/>
        <v>42</v>
      </c>
      <c r="ABA31" s="692">
        <f t="shared" si="157"/>
        <v>88</v>
      </c>
      <c r="ABB31" s="692">
        <f t="shared" si="157"/>
        <v>52</v>
      </c>
      <c r="ABC31" s="692">
        <f t="shared" si="157"/>
        <v>309</v>
      </c>
      <c r="ABD31" s="692">
        <f t="shared" si="157"/>
        <v>223</v>
      </c>
      <c r="ABE31" s="692">
        <f t="shared" si="157"/>
        <v>516</v>
      </c>
      <c r="ABF31" s="693">
        <f t="shared" si="157"/>
        <v>0</v>
      </c>
      <c r="ABG31" s="696">
        <f t="shared" si="157"/>
        <v>2</v>
      </c>
      <c r="ABH31" s="696">
        <f t="shared" si="157"/>
        <v>0</v>
      </c>
      <c r="ABI31" s="703">
        <f t="shared" si="157"/>
        <v>1230</v>
      </c>
      <c r="ABJ31" s="692">
        <f t="shared" si="157"/>
        <v>44</v>
      </c>
      <c r="ABK31" s="692">
        <f t="shared" si="157"/>
        <v>20</v>
      </c>
      <c r="ABL31" s="692">
        <f t="shared" si="157"/>
        <v>56</v>
      </c>
      <c r="ABM31" s="692">
        <f t="shared" si="157"/>
        <v>255</v>
      </c>
      <c r="ABN31" s="692">
        <f t="shared" si="157"/>
        <v>161</v>
      </c>
      <c r="ABO31" s="692">
        <f t="shared" si="157"/>
        <v>280</v>
      </c>
      <c r="ABP31" s="693">
        <f t="shared" si="157"/>
        <v>0</v>
      </c>
      <c r="ABQ31" s="723">
        <f t="shared" si="157"/>
        <v>17</v>
      </c>
      <c r="ABR31" s="724">
        <f t="shared" si="157"/>
        <v>0</v>
      </c>
      <c r="ABS31" s="703">
        <f t="shared" si="157"/>
        <v>816</v>
      </c>
      <c r="ABT31" s="692">
        <f t="shared" si="157"/>
        <v>44</v>
      </c>
      <c r="ABU31" s="692">
        <f t="shared" si="157"/>
        <v>37</v>
      </c>
      <c r="ABV31" s="692">
        <f t="shared" si="157"/>
        <v>0</v>
      </c>
      <c r="ABW31" s="692">
        <f t="shared" si="157"/>
        <v>376</v>
      </c>
      <c r="ABX31" s="692">
        <f t="shared" si="157"/>
        <v>210</v>
      </c>
      <c r="ABY31" s="692">
        <f t="shared" si="157"/>
        <v>288</v>
      </c>
      <c r="ABZ31" s="693">
        <f t="shared" si="157"/>
        <v>0</v>
      </c>
      <c r="ACA31" s="723">
        <f t="shared" si="157"/>
        <v>18</v>
      </c>
      <c r="ACB31" s="724">
        <f t="shared" si="157"/>
        <v>0</v>
      </c>
      <c r="ACC31" s="703">
        <f t="shared" si="157"/>
        <v>955</v>
      </c>
      <c r="ACD31" s="692">
        <f t="shared" si="157"/>
        <v>25</v>
      </c>
      <c r="ACE31" s="692">
        <f t="shared" si="157"/>
        <v>44</v>
      </c>
      <c r="ACF31" s="692">
        <f t="shared" si="157"/>
        <v>37</v>
      </c>
      <c r="ACG31" s="692">
        <f t="shared" si="157"/>
        <v>14</v>
      </c>
      <c r="ACH31" s="692">
        <f t="shared" si="157"/>
        <v>298</v>
      </c>
      <c r="ACI31" s="692">
        <f t="shared" si="157"/>
        <v>384</v>
      </c>
      <c r="ACJ31" s="693">
        <f t="shared" si="157"/>
        <v>0</v>
      </c>
      <c r="ACK31" s="696">
        <f t="shared" si="157"/>
        <v>36</v>
      </c>
      <c r="ACL31" s="696">
        <f t="shared" si="157"/>
        <v>0</v>
      </c>
      <c r="ACM31" s="704">
        <f t="shared" si="157"/>
        <v>802</v>
      </c>
      <c r="ACN31" s="726"/>
      <c r="ACO31" s="727"/>
      <c r="ACP31" s="728">
        <f>SUM(ACP8:ACP30)</f>
        <v>3803</v>
      </c>
      <c r="ACQ31" s="728">
        <f>SUM(ACQ8:ACQ30)</f>
        <v>3700</v>
      </c>
      <c r="ACR31" s="729">
        <f>+ACP31/ACQ31</f>
        <v>1.0278378378378379</v>
      </c>
      <c r="ACS31" s="730">
        <f>SUM(ACS8:ACS30)</f>
        <v>22654</v>
      </c>
      <c r="ACT31" s="731">
        <f>SUM(ACT8:ACT30)</f>
        <v>23842</v>
      </c>
      <c r="ACU31" s="732">
        <f>+ACS31/ACT31</f>
        <v>0.95017196543914106</v>
      </c>
      <c r="ACW31" s="163">
        <f t="shared" si="103"/>
        <v>0.9687403934346176</v>
      </c>
      <c r="ACX31" s="733"/>
    </row>
    <row r="32" spans="1:778" x14ac:dyDescent="0.35">
      <c r="B32" s="969" t="s">
        <v>80</v>
      </c>
      <c r="C32" s="970"/>
      <c r="D32" s="970"/>
      <c r="E32" s="970"/>
      <c r="F32" s="970"/>
      <c r="G32" s="970"/>
      <c r="H32" s="970"/>
      <c r="I32" s="970"/>
      <c r="J32" s="970"/>
      <c r="K32" s="970"/>
      <c r="L32" s="970"/>
      <c r="M32" s="970"/>
      <c r="N32" s="970"/>
      <c r="O32" s="970"/>
      <c r="P32" s="970"/>
      <c r="Q32" s="970"/>
      <c r="R32" s="970"/>
      <c r="S32" s="970"/>
      <c r="T32" s="970"/>
      <c r="U32" s="970"/>
      <c r="V32" s="970"/>
      <c r="W32" s="970"/>
      <c r="X32" s="970"/>
      <c r="Y32" s="970"/>
      <c r="Z32" s="970"/>
      <c r="AA32" s="970"/>
      <c r="AB32" s="970"/>
      <c r="AC32" s="970"/>
      <c r="AD32" s="970"/>
      <c r="AE32" s="970"/>
      <c r="AF32" s="970"/>
      <c r="AG32" s="970"/>
      <c r="AH32" s="970"/>
      <c r="AI32" s="970"/>
      <c r="AJ32" s="970"/>
      <c r="AK32" s="970"/>
      <c r="AL32" s="970"/>
      <c r="AM32" s="970"/>
      <c r="AN32" s="970"/>
      <c r="AO32" s="970"/>
      <c r="AP32" s="970"/>
      <c r="AQ32" s="970"/>
      <c r="AR32" s="970"/>
      <c r="AS32" s="970"/>
      <c r="AT32" s="970"/>
      <c r="AU32" s="970"/>
      <c r="AV32" s="970"/>
      <c r="AW32" s="970"/>
      <c r="AX32" s="970"/>
      <c r="AY32" s="970"/>
      <c r="AZ32" s="970"/>
      <c r="BA32" s="970"/>
      <c r="BB32" s="970"/>
      <c r="BC32" s="970"/>
      <c r="BD32" s="970"/>
      <c r="BE32" s="970"/>
      <c r="BF32" s="970"/>
      <c r="BG32" s="970"/>
      <c r="BH32" s="970"/>
      <c r="BI32" s="970"/>
      <c r="BJ32" s="970"/>
      <c r="BK32" s="970"/>
      <c r="BL32" s="970"/>
      <c r="BM32" s="970"/>
      <c r="BN32" s="970"/>
      <c r="BO32" s="970"/>
      <c r="BP32" s="970"/>
      <c r="BQ32" s="970"/>
      <c r="BR32" s="970"/>
      <c r="BS32" s="970"/>
      <c r="BT32" s="970"/>
      <c r="BU32" s="970"/>
      <c r="BV32" s="970"/>
      <c r="BW32" s="970"/>
      <c r="BX32" s="970"/>
      <c r="BY32" s="970"/>
      <c r="BZ32" s="970"/>
      <c r="CA32" s="970"/>
      <c r="CB32" s="970"/>
      <c r="CC32" s="970"/>
      <c r="CD32" s="970"/>
      <c r="CE32" s="970"/>
      <c r="CF32" s="970"/>
      <c r="CG32" s="970"/>
      <c r="CH32" s="970"/>
      <c r="CI32" s="970"/>
      <c r="CJ32" s="970"/>
      <c r="CK32" s="970"/>
      <c r="CL32" s="970"/>
      <c r="CM32" s="970"/>
      <c r="CN32" s="970"/>
      <c r="CO32" s="970"/>
      <c r="CP32" s="970"/>
      <c r="CQ32" s="970"/>
      <c r="CR32" s="970"/>
      <c r="CS32" s="970"/>
      <c r="CT32" s="970"/>
      <c r="CU32" s="970"/>
      <c r="CV32" s="970"/>
      <c r="CW32" s="970"/>
      <c r="CX32" s="970"/>
      <c r="CY32" s="970"/>
      <c r="CZ32" s="970"/>
      <c r="DA32" s="970"/>
      <c r="DB32" s="970"/>
      <c r="DC32" s="970"/>
      <c r="DD32" s="970"/>
      <c r="DE32" s="970"/>
      <c r="DF32" s="970"/>
      <c r="DG32" s="970"/>
      <c r="DH32" s="970"/>
      <c r="DI32" s="970"/>
      <c r="DJ32" s="970"/>
      <c r="DK32" s="970"/>
      <c r="DL32" s="970"/>
      <c r="DM32" s="970"/>
      <c r="DN32" s="970"/>
      <c r="DO32" s="970"/>
      <c r="DP32" s="970"/>
      <c r="DQ32" s="970"/>
      <c r="DR32" s="970"/>
      <c r="DS32" s="970"/>
      <c r="DT32" s="970"/>
      <c r="DU32" s="970"/>
      <c r="DV32" s="970"/>
      <c r="DW32" s="970"/>
      <c r="DX32" s="970"/>
      <c r="DY32" s="970"/>
      <c r="DZ32" s="970"/>
      <c r="EA32" s="970"/>
      <c r="EB32" s="970"/>
      <c r="EC32" s="970"/>
      <c r="ED32" s="970"/>
      <c r="EE32" s="970"/>
      <c r="EF32" s="970"/>
      <c r="EG32" s="970"/>
      <c r="EH32" s="970"/>
      <c r="EI32" s="970"/>
      <c r="EJ32" s="970"/>
      <c r="EK32" s="970"/>
      <c r="EL32" s="970"/>
      <c r="EM32" s="970"/>
      <c r="EN32" s="970"/>
      <c r="EO32" s="970"/>
      <c r="EP32" s="970"/>
      <c r="EQ32" s="970"/>
      <c r="ER32" s="970"/>
      <c r="ES32" s="970"/>
      <c r="ET32" s="970"/>
      <c r="EU32" s="970"/>
      <c r="EV32" s="970"/>
      <c r="EW32" s="970"/>
      <c r="EX32" s="970"/>
      <c r="EY32" s="970"/>
      <c r="EZ32" s="970"/>
      <c r="FA32" s="970"/>
      <c r="FB32" s="970"/>
      <c r="FC32" s="970"/>
      <c r="FD32" s="970"/>
      <c r="FE32" s="970"/>
      <c r="FF32" s="970"/>
      <c r="FG32" s="970"/>
      <c r="FH32" s="970"/>
      <c r="FI32" s="970"/>
      <c r="FJ32" s="970"/>
      <c r="FK32" s="970"/>
      <c r="FL32" s="970"/>
      <c r="FM32" s="970"/>
      <c r="FN32" s="970"/>
      <c r="FO32" s="970"/>
      <c r="FP32" s="970"/>
      <c r="FQ32" s="970"/>
      <c r="FR32" s="970"/>
      <c r="FS32" s="970"/>
      <c r="FT32" s="970"/>
      <c r="FU32" s="970"/>
      <c r="FV32" s="970"/>
      <c r="FW32" s="970"/>
      <c r="FX32" s="970"/>
      <c r="FY32" s="970"/>
      <c r="FZ32" s="970"/>
      <c r="GA32" s="970"/>
      <c r="GB32" s="970"/>
      <c r="GC32" s="970"/>
      <c r="GD32" s="970"/>
      <c r="GE32" s="970"/>
      <c r="GF32" s="970"/>
      <c r="GG32" s="970"/>
      <c r="GH32" s="970"/>
      <c r="GI32" s="970"/>
      <c r="GJ32" s="970"/>
      <c r="GK32" s="970"/>
      <c r="GL32" s="970"/>
      <c r="GM32" s="970"/>
      <c r="GN32" s="970"/>
      <c r="GO32" s="970"/>
      <c r="GP32" s="970"/>
      <c r="GQ32" s="970"/>
      <c r="GR32" s="970"/>
      <c r="GS32" s="970"/>
      <c r="GT32" s="970"/>
      <c r="GU32" s="970"/>
      <c r="GV32" s="970"/>
      <c r="GW32" s="970"/>
      <c r="GX32" s="970"/>
      <c r="GY32" s="970"/>
      <c r="GZ32" s="970"/>
      <c r="HA32" s="970"/>
      <c r="HB32" s="970"/>
      <c r="HC32" s="970"/>
      <c r="HD32" s="970"/>
      <c r="HE32" s="970"/>
      <c r="HF32" s="970"/>
      <c r="HG32" s="970"/>
      <c r="HH32" s="970"/>
      <c r="HI32" s="970"/>
      <c r="HJ32" s="970"/>
      <c r="HK32" s="970"/>
      <c r="HL32" s="970"/>
      <c r="HM32" s="970"/>
      <c r="HN32" s="970"/>
      <c r="HO32" s="970"/>
      <c r="HP32" s="970"/>
      <c r="HQ32" s="970"/>
      <c r="HR32" s="970"/>
      <c r="HS32" s="970"/>
      <c r="HT32" s="970"/>
      <c r="HU32" s="970"/>
      <c r="HV32" s="970"/>
      <c r="HW32" s="970"/>
      <c r="HX32" s="970"/>
      <c r="HY32" s="970"/>
      <c r="HZ32" s="970"/>
      <c r="IA32" s="970"/>
      <c r="IB32" s="970"/>
      <c r="IC32" s="970"/>
      <c r="ID32" s="970"/>
      <c r="IE32" s="970"/>
      <c r="IF32" s="970"/>
      <c r="IG32" s="970"/>
      <c r="IH32" s="970"/>
      <c r="II32" s="970"/>
      <c r="IJ32" s="970"/>
      <c r="IK32" s="970"/>
      <c r="IL32" s="970"/>
      <c r="IM32" s="970"/>
      <c r="IN32" s="970"/>
      <c r="IO32" s="970"/>
      <c r="IP32" s="970"/>
      <c r="IQ32" s="970"/>
      <c r="IR32" s="970"/>
      <c r="IS32" s="970"/>
      <c r="IT32" s="970"/>
      <c r="IU32" s="970"/>
      <c r="IV32" s="970"/>
      <c r="IW32" s="970"/>
      <c r="IX32" s="970"/>
    </row>
    <row r="33" spans="1:775" x14ac:dyDescent="0.35">
      <c r="A33" s="735">
        <v>1</v>
      </c>
      <c r="B33" s="736" t="s">
        <v>81</v>
      </c>
      <c r="C33" s="737"/>
      <c r="D33" s="737"/>
      <c r="E33" s="737"/>
      <c r="F33" s="737"/>
      <c r="G33" s="738"/>
      <c r="H33" s="737"/>
      <c r="I33" s="739"/>
      <c r="J33" s="739"/>
      <c r="K33" s="737"/>
      <c r="L33" s="737"/>
      <c r="M33" s="737"/>
      <c r="N33" s="737"/>
      <c r="O33" s="737"/>
      <c r="P33" s="737"/>
      <c r="Q33" s="737"/>
      <c r="R33" s="737"/>
      <c r="S33" s="739"/>
      <c r="T33" s="737"/>
      <c r="U33" s="737"/>
      <c r="V33" s="737"/>
      <c r="W33" s="737"/>
      <c r="X33" s="737"/>
      <c r="Y33" s="737"/>
      <c r="Z33" s="737"/>
      <c r="AA33" s="737"/>
      <c r="AB33" s="739"/>
      <c r="AC33" s="737"/>
      <c r="AD33" s="737"/>
      <c r="AE33" s="737"/>
      <c r="AF33" s="737"/>
      <c r="AG33" s="737"/>
      <c r="AH33" s="737"/>
      <c r="AI33" s="737"/>
      <c r="AJ33" s="737"/>
      <c r="AK33" s="739"/>
      <c r="AL33" s="737"/>
      <c r="AM33" s="737"/>
      <c r="AN33" s="737"/>
      <c r="AO33" s="737"/>
      <c r="AP33" s="737"/>
      <c r="AQ33" s="737"/>
      <c r="AR33" s="737"/>
      <c r="AS33" s="737"/>
      <c r="AT33" s="739"/>
      <c r="AU33" s="737"/>
      <c r="AV33" s="737"/>
      <c r="AW33" s="737"/>
      <c r="AX33" s="737"/>
      <c r="AY33" s="740"/>
      <c r="AZ33" s="741"/>
      <c r="BA33" s="737"/>
      <c r="BB33" s="737"/>
      <c r="BC33" s="737"/>
      <c r="BD33" s="737"/>
      <c r="BE33" s="737"/>
      <c r="BF33" s="737"/>
      <c r="BG33" s="737"/>
      <c r="BH33" s="737"/>
      <c r="BI33" s="737"/>
      <c r="BJ33" s="737"/>
      <c r="BK33" s="737"/>
      <c r="BL33" s="737"/>
      <c r="BM33" s="737"/>
      <c r="BN33" s="737"/>
      <c r="BO33" s="737"/>
      <c r="BP33" s="737"/>
      <c r="BQ33" s="737"/>
      <c r="BR33" s="737"/>
      <c r="BS33" s="737"/>
      <c r="BT33" s="737"/>
      <c r="BU33" s="737"/>
      <c r="BV33" s="737"/>
      <c r="BW33" s="737"/>
      <c r="BX33" s="737"/>
      <c r="BY33" s="737"/>
      <c r="BZ33" s="737"/>
      <c r="CA33" s="737"/>
      <c r="CB33" s="737"/>
      <c r="CC33" s="737"/>
      <c r="CD33" s="737"/>
      <c r="CE33" s="737"/>
      <c r="CF33" s="737"/>
      <c r="CG33" s="737"/>
      <c r="CH33" s="737"/>
      <c r="CI33" s="737"/>
      <c r="CJ33" s="737"/>
      <c r="CK33" s="737"/>
      <c r="CL33" s="737"/>
      <c r="CM33" s="737"/>
      <c r="CN33" s="737"/>
      <c r="CO33" s="737"/>
      <c r="CP33" s="737"/>
      <c r="CQ33" s="737"/>
      <c r="CR33" s="737"/>
      <c r="CS33" s="737"/>
      <c r="CT33" s="737"/>
      <c r="CU33" s="737"/>
      <c r="CV33" s="737"/>
      <c r="CW33" s="737"/>
      <c r="CX33" s="737"/>
      <c r="CY33" s="737"/>
      <c r="CZ33" s="737"/>
      <c r="DA33" s="737"/>
      <c r="DB33" s="737"/>
      <c r="DC33" s="737"/>
      <c r="DD33" s="737"/>
      <c r="DE33" s="737"/>
      <c r="DF33" s="737"/>
      <c r="DG33" s="737"/>
      <c r="DH33" s="737"/>
      <c r="DI33" s="737"/>
      <c r="DJ33" s="737"/>
      <c r="DK33" s="737"/>
      <c r="DL33" s="737"/>
      <c r="DM33" s="737"/>
      <c r="DN33" s="737"/>
      <c r="DO33" s="737"/>
      <c r="DP33" s="737"/>
      <c r="DQ33" s="737"/>
      <c r="DR33" s="737"/>
      <c r="DS33" s="737"/>
      <c r="DT33" s="737"/>
      <c r="DU33" s="737"/>
      <c r="DV33" s="737"/>
      <c r="DW33" s="737"/>
      <c r="DX33" s="737"/>
      <c r="DY33" s="737"/>
      <c r="DZ33" s="737"/>
      <c r="EA33" s="737"/>
      <c r="EB33" s="737"/>
      <c r="EC33" s="737"/>
      <c r="ED33" s="737"/>
      <c r="EE33" s="737"/>
      <c r="EF33" s="737"/>
      <c r="EG33" s="737"/>
      <c r="EH33" s="737"/>
      <c r="EI33" s="737"/>
      <c r="EJ33" s="737"/>
      <c r="EK33" s="737"/>
      <c r="EL33" s="737"/>
      <c r="EM33" s="737"/>
      <c r="EN33" s="737"/>
      <c r="EO33" s="737"/>
      <c r="EP33" s="737"/>
      <c r="EQ33" s="737"/>
      <c r="ER33" s="737"/>
      <c r="ES33" s="737"/>
      <c r="ET33" s="737"/>
      <c r="EU33" s="737"/>
      <c r="EV33" s="737"/>
      <c r="EW33" s="737"/>
      <c r="EX33" s="737"/>
      <c r="EY33" s="737"/>
      <c r="EZ33" s="737"/>
      <c r="FA33" s="737"/>
      <c r="FB33" s="737"/>
      <c r="FC33" s="737"/>
      <c r="FD33" s="737"/>
      <c r="FE33" s="737"/>
      <c r="FF33" s="737"/>
      <c r="FG33" s="737"/>
      <c r="FH33" s="737"/>
      <c r="FI33" s="737"/>
      <c r="FJ33" s="737"/>
      <c r="FK33" s="737"/>
      <c r="FL33" s="737"/>
      <c r="FM33" s="737"/>
      <c r="FN33" s="737"/>
      <c r="FO33" s="737"/>
      <c r="FP33" s="737"/>
      <c r="FQ33" s="737"/>
      <c r="FR33" s="737"/>
      <c r="FS33" s="737"/>
      <c r="FT33" s="737"/>
      <c r="FU33" s="737"/>
      <c r="FV33" s="737"/>
      <c r="FW33" s="737"/>
      <c r="FX33" s="737"/>
      <c r="FY33" s="737"/>
      <c r="FZ33" s="737"/>
      <c r="GA33" s="737"/>
      <c r="GB33" s="737"/>
      <c r="GC33" s="737"/>
      <c r="GD33" s="737"/>
      <c r="GE33" s="737"/>
      <c r="GF33" s="737"/>
      <c r="GG33" s="737"/>
      <c r="GH33" s="737"/>
      <c r="GI33" s="737"/>
      <c r="GJ33" s="737"/>
      <c r="GK33" s="737"/>
      <c r="GL33" s="737"/>
      <c r="GM33" s="737"/>
      <c r="GN33" s="737"/>
      <c r="GO33" s="737"/>
      <c r="GP33" s="737"/>
      <c r="GQ33" s="737"/>
      <c r="GR33" s="737"/>
      <c r="GS33" s="737"/>
      <c r="GT33" s="737"/>
      <c r="GU33" s="737"/>
      <c r="GV33" s="737"/>
      <c r="GW33" s="737"/>
      <c r="GX33" s="737"/>
      <c r="GY33" s="737"/>
      <c r="GZ33" s="737"/>
      <c r="HA33" s="737"/>
      <c r="HB33" s="737"/>
      <c r="HC33" s="737"/>
      <c r="HD33" s="737"/>
      <c r="HE33" s="737"/>
      <c r="HF33" s="737"/>
      <c r="HG33" s="737"/>
      <c r="HH33" s="737"/>
      <c r="HI33" s="737"/>
      <c r="HJ33" s="737"/>
      <c r="HK33" s="737"/>
      <c r="HL33" s="737"/>
      <c r="HM33" s="737"/>
      <c r="HN33" s="737"/>
      <c r="HO33" s="737"/>
      <c r="HP33" s="737"/>
      <c r="HQ33" s="737"/>
      <c r="HR33" s="737"/>
      <c r="HS33" s="737"/>
      <c r="HT33" s="737"/>
      <c r="HU33" s="737"/>
      <c r="HV33" s="737"/>
      <c r="HW33" s="737"/>
      <c r="HX33" s="737"/>
      <c r="HY33" s="737"/>
      <c r="HZ33" s="737"/>
      <c r="IA33" s="737"/>
      <c r="IB33" s="737"/>
      <c r="IC33" s="737"/>
      <c r="ID33" s="737"/>
      <c r="IE33" s="737"/>
      <c r="IF33" s="737"/>
      <c r="IG33" s="737"/>
      <c r="IH33" s="737"/>
      <c r="II33" s="737"/>
      <c r="IJ33" s="737"/>
      <c r="IK33" s="737"/>
      <c r="IL33" s="737"/>
      <c r="IM33" s="737"/>
      <c r="IN33" s="737"/>
      <c r="IO33" s="737"/>
      <c r="IP33" s="737"/>
      <c r="IQ33" s="737"/>
      <c r="IR33" s="737"/>
      <c r="IS33" s="737"/>
      <c r="IT33" s="737"/>
      <c r="IU33" s="740"/>
      <c r="IV33" s="737"/>
      <c r="IW33" s="735">
        <v>7</v>
      </c>
      <c r="IX33" s="742">
        <f>+IW33/IW39</f>
        <v>0.3888888888888889</v>
      </c>
      <c r="IY33" s="737"/>
    </row>
    <row r="34" spans="1:775" x14ac:dyDescent="0.35">
      <c r="A34" s="735">
        <v>2</v>
      </c>
      <c r="B34" s="736" t="s">
        <v>82</v>
      </c>
      <c r="C34" s="737"/>
      <c r="D34" s="737"/>
      <c r="E34" s="737"/>
      <c r="F34" s="737"/>
      <c r="G34" s="738"/>
      <c r="H34" s="737"/>
      <c r="I34" s="739"/>
      <c r="J34" s="739"/>
      <c r="K34" s="737"/>
      <c r="L34" s="737"/>
      <c r="M34" s="737"/>
      <c r="N34" s="737"/>
      <c r="O34" s="737"/>
      <c r="P34" s="737"/>
      <c r="Q34" s="737"/>
      <c r="R34" s="737"/>
      <c r="S34" s="739"/>
      <c r="T34" s="737"/>
      <c r="U34" s="737"/>
      <c r="V34" s="737"/>
      <c r="W34" s="737"/>
      <c r="X34" s="737"/>
      <c r="Y34" s="737"/>
      <c r="Z34" s="737"/>
      <c r="AA34" s="737"/>
      <c r="AB34" s="739"/>
      <c r="AC34" s="737"/>
      <c r="AD34" s="737"/>
      <c r="AE34" s="737"/>
      <c r="AF34" s="737"/>
      <c r="AG34" s="737"/>
      <c r="AH34" s="737"/>
      <c r="AI34" s="737"/>
      <c r="AJ34" s="737"/>
      <c r="AK34" s="739"/>
      <c r="AL34" s="737"/>
      <c r="AM34" s="737"/>
      <c r="AN34" s="737"/>
      <c r="AO34" s="737"/>
      <c r="AP34" s="737"/>
      <c r="AQ34" s="737"/>
      <c r="AR34" s="737"/>
      <c r="AS34" s="737"/>
      <c r="AT34" s="739"/>
      <c r="AU34" s="737"/>
      <c r="AV34" s="737"/>
      <c r="AW34" s="737"/>
      <c r="AX34" s="737"/>
      <c r="AY34" s="740"/>
      <c r="AZ34" s="741"/>
      <c r="BA34" s="737"/>
      <c r="BB34" s="737"/>
      <c r="BC34" s="737"/>
      <c r="BD34" s="737"/>
      <c r="BE34" s="737"/>
      <c r="BF34" s="737"/>
      <c r="BG34" s="737"/>
      <c r="BH34" s="737"/>
      <c r="BI34" s="737"/>
      <c r="BJ34" s="737"/>
      <c r="BK34" s="737"/>
      <c r="BL34" s="737"/>
      <c r="BM34" s="737"/>
      <c r="BN34" s="737"/>
      <c r="BO34" s="737"/>
      <c r="BP34" s="737"/>
      <c r="BQ34" s="737"/>
      <c r="BR34" s="737"/>
      <c r="BS34" s="737"/>
      <c r="BT34" s="737"/>
      <c r="BU34" s="737"/>
      <c r="BV34" s="737"/>
      <c r="BW34" s="737"/>
      <c r="BX34" s="737"/>
      <c r="BY34" s="737"/>
      <c r="BZ34" s="737"/>
      <c r="CA34" s="737"/>
      <c r="CB34" s="737"/>
      <c r="CC34" s="737"/>
      <c r="CD34" s="737"/>
      <c r="CE34" s="737"/>
      <c r="CF34" s="737"/>
      <c r="CG34" s="737"/>
      <c r="CH34" s="737"/>
      <c r="CI34" s="737"/>
      <c r="CJ34" s="737"/>
      <c r="CK34" s="737"/>
      <c r="CL34" s="737"/>
      <c r="CM34" s="737"/>
      <c r="CN34" s="737"/>
      <c r="CO34" s="737"/>
      <c r="CP34" s="737"/>
      <c r="CQ34" s="737"/>
      <c r="CR34" s="737"/>
      <c r="CS34" s="737"/>
      <c r="CT34" s="737"/>
      <c r="CU34" s="737"/>
      <c r="CV34" s="737"/>
      <c r="CW34" s="737"/>
      <c r="CX34" s="737"/>
      <c r="CY34" s="737"/>
      <c r="CZ34" s="737"/>
      <c r="DA34" s="737"/>
      <c r="DB34" s="737"/>
      <c r="DC34" s="737"/>
      <c r="DD34" s="737"/>
      <c r="DE34" s="737"/>
      <c r="DF34" s="737"/>
      <c r="DG34" s="737"/>
      <c r="DH34" s="737"/>
      <c r="DI34" s="737"/>
      <c r="DJ34" s="737"/>
      <c r="DK34" s="737"/>
      <c r="DL34" s="737"/>
      <c r="DM34" s="737"/>
      <c r="DN34" s="737"/>
      <c r="DO34" s="737"/>
      <c r="DP34" s="737"/>
      <c r="DQ34" s="737"/>
      <c r="DR34" s="737"/>
      <c r="DS34" s="737"/>
      <c r="DT34" s="737"/>
      <c r="DU34" s="737"/>
      <c r="DV34" s="737"/>
      <c r="DW34" s="737"/>
      <c r="DX34" s="737"/>
      <c r="DY34" s="737"/>
      <c r="DZ34" s="737"/>
      <c r="EA34" s="737"/>
      <c r="EB34" s="737"/>
      <c r="EC34" s="737"/>
      <c r="ED34" s="737"/>
      <c r="EE34" s="737"/>
      <c r="EF34" s="737"/>
      <c r="EG34" s="737"/>
      <c r="EH34" s="737"/>
      <c r="EI34" s="737"/>
      <c r="EJ34" s="737"/>
      <c r="EK34" s="737"/>
      <c r="EL34" s="737"/>
      <c r="EM34" s="737"/>
      <c r="EN34" s="737"/>
      <c r="EO34" s="737"/>
      <c r="EP34" s="737"/>
      <c r="EQ34" s="737"/>
      <c r="ER34" s="737"/>
      <c r="ES34" s="737"/>
      <c r="ET34" s="737"/>
      <c r="EU34" s="737"/>
      <c r="EV34" s="737"/>
      <c r="EW34" s="737"/>
      <c r="EX34" s="737"/>
      <c r="EY34" s="737"/>
      <c r="EZ34" s="737"/>
      <c r="FA34" s="737"/>
      <c r="FB34" s="737"/>
      <c r="FC34" s="737"/>
      <c r="FD34" s="737"/>
      <c r="FE34" s="737"/>
      <c r="FF34" s="737"/>
      <c r="FG34" s="737"/>
      <c r="FH34" s="737"/>
      <c r="FI34" s="737"/>
      <c r="FJ34" s="737"/>
      <c r="FK34" s="737"/>
      <c r="FL34" s="737"/>
      <c r="FM34" s="737"/>
      <c r="FN34" s="737"/>
      <c r="FO34" s="737"/>
      <c r="FP34" s="737"/>
      <c r="FQ34" s="737"/>
      <c r="FR34" s="737"/>
      <c r="FS34" s="737"/>
      <c r="FT34" s="737"/>
      <c r="FU34" s="737"/>
      <c r="FV34" s="737"/>
      <c r="FW34" s="737"/>
      <c r="FX34" s="737"/>
      <c r="FY34" s="737"/>
      <c r="FZ34" s="737"/>
      <c r="GA34" s="737"/>
      <c r="GB34" s="737"/>
      <c r="GC34" s="737"/>
      <c r="GD34" s="737"/>
      <c r="GE34" s="737"/>
      <c r="GF34" s="737"/>
      <c r="GG34" s="737"/>
      <c r="GH34" s="737"/>
      <c r="GI34" s="737"/>
      <c r="GJ34" s="737"/>
      <c r="GK34" s="737"/>
      <c r="GL34" s="737"/>
      <c r="GM34" s="737"/>
      <c r="GN34" s="737"/>
      <c r="GO34" s="737"/>
      <c r="GP34" s="737"/>
      <c r="GQ34" s="737"/>
      <c r="GR34" s="737"/>
      <c r="GS34" s="737"/>
      <c r="GT34" s="737"/>
      <c r="GU34" s="737"/>
      <c r="GV34" s="737"/>
      <c r="GW34" s="737"/>
      <c r="GX34" s="737"/>
      <c r="GY34" s="737"/>
      <c r="GZ34" s="737"/>
      <c r="HA34" s="737"/>
      <c r="HB34" s="737"/>
      <c r="HC34" s="737"/>
      <c r="HD34" s="737"/>
      <c r="HE34" s="737"/>
      <c r="HF34" s="737"/>
      <c r="HG34" s="737"/>
      <c r="HH34" s="737"/>
      <c r="HI34" s="737"/>
      <c r="HJ34" s="737"/>
      <c r="HK34" s="737"/>
      <c r="HL34" s="737"/>
      <c r="HM34" s="737"/>
      <c r="HN34" s="737"/>
      <c r="HO34" s="737"/>
      <c r="HP34" s="737"/>
      <c r="HQ34" s="737"/>
      <c r="HR34" s="737"/>
      <c r="HS34" s="737"/>
      <c r="HT34" s="737"/>
      <c r="HU34" s="737"/>
      <c r="HV34" s="737"/>
      <c r="HW34" s="737"/>
      <c r="HX34" s="737"/>
      <c r="HY34" s="737"/>
      <c r="HZ34" s="737"/>
      <c r="IA34" s="737"/>
      <c r="IB34" s="737"/>
      <c r="IC34" s="737"/>
      <c r="ID34" s="737"/>
      <c r="IE34" s="737"/>
      <c r="IF34" s="737"/>
      <c r="IG34" s="737"/>
      <c r="IH34" s="737"/>
      <c r="II34" s="737"/>
      <c r="IJ34" s="737"/>
      <c r="IK34" s="737"/>
      <c r="IL34" s="737"/>
      <c r="IM34" s="737"/>
      <c r="IN34" s="737"/>
      <c r="IO34" s="737"/>
      <c r="IP34" s="737"/>
      <c r="IQ34" s="737"/>
      <c r="IR34" s="737"/>
      <c r="IS34" s="737"/>
      <c r="IT34" s="737"/>
      <c r="IU34" s="740"/>
      <c r="IV34" s="737"/>
      <c r="IW34" s="735">
        <v>2</v>
      </c>
      <c r="IX34" s="742">
        <f>+IW34/IW39</f>
        <v>0.1111111111111111</v>
      </c>
      <c r="IY34" s="737"/>
    </row>
    <row r="35" spans="1:775" x14ac:dyDescent="0.35">
      <c r="A35" s="735">
        <v>3</v>
      </c>
      <c r="B35" s="736" t="s">
        <v>83</v>
      </c>
      <c r="C35" s="737"/>
      <c r="D35" s="737"/>
      <c r="E35" s="737"/>
      <c r="F35" s="737"/>
      <c r="G35" s="738"/>
      <c r="H35" s="737"/>
      <c r="I35" s="739"/>
      <c r="J35" s="739"/>
      <c r="K35" s="737"/>
      <c r="L35" s="737"/>
      <c r="M35" s="737"/>
      <c r="N35" s="737"/>
      <c r="O35" s="737"/>
      <c r="P35" s="737"/>
      <c r="Q35" s="737"/>
      <c r="R35" s="737"/>
      <c r="S35" s="739"/>
      <c r="T35" s="737"/>
      <c r="U35" s="737"/>
      <c r="V35" s="737"/>
      <c r="W35" s="737"/>
      <c r="X35" s="737"/>
      <c r="Y35" s="737"/>
      <c r="Z35" s="737"/>
      <c r="AA35" s="737"/>
      <c r="AB35" s="739"/>
      <c r="AC35" s="737"/>
      <c r="AD35" s="737"/>
      <c r="AE35" s="737"/>
      <c r="AF35" s="737"/>
      <c r="AG35" s="737"/>
      <c r="AH35" s="737"/>
      <c r="AI35" s="737"/>
      <c r="AJ35" s="737"/>
      <c r="AK35" s="739"/>
      <c r="AL35" s="737"/>
      <c r="AM35" s="737"/>
      <c r="AN35" s="737"/>
      <c r="AO35" s="737"/>
      <c r="AP35" s="737"/>
      <c r="AQ35" s="737"/>
      <c r="AR35" s="737"/>
      <c r="AS35" s="737"/>
      <c r="AT35" s="739"/>
      <c r="AU35" s="737"/>
      <c r="AV35" s="737"/>
      <c r="AW35" s="737"/>
      <c r="AX35" s="737"/>
      <c r="AY35" s="740"/>
      <c r="AZ35" s="741"/>
      <c r="BA35" s="737"/>
      <c r="BB35" s="737"/>
      <c r="BC35" s="737"/>
      <c r="BD35" s="737"/>
      <c r="BE35" s="737"/>
      <c r="BF35" s="737"/>
      <c r="BG35" s="737"/>
      <c r="BH35" s="737"/>
      <c r="BI35" s="737"/>
      <c r="BJ35" s="737"/>
      <c r="BK35" s="737"/>
      <c r="BL35" s="737"/>
      <c r="BM35" s="737"/>
      <c r="BN35" s="737"/>
      <c r="BO35" s="737"/>
      <c r="BP35" s="737"/>
      <c r="BQ35" s="737"/>
      <c r="BR35" s="737"/>
      <c r="BS35" s="737"/>
      <c r="BT35" s="737"/>
      <c r="BU35" s="737"/>
      <c r="BV35" s="737"/>
      <c r="BW35" s="737"/>
      <c r="BX35" s="737"/>
      <c r="BY35" s="737"/>
      <c r="BZ35" s="737"/>
      <c r="CA35" s="737"/>
      <c r="CB35" s="737"/>
      <c r="CC35" s="737"/>
      <c r="CD35" s="737"/>
      <c r="CE35" s="737"/>
      <c r="CF35" s="737"/>
      <c r="CG35" s="737"/>
      <c r="CH35" s="737"/>
      <c r="CI35" s="737"/>
      <c r="CJ35" s="737"/>
      <c r="CK35" s="737"/>
      <c r="CL35" s="737"/>
      <c r="CM35" s="737"/>
      <c r="CN35" s="737"/>
      <c r="CO35" s="737"/>
      <c r="CP35" s="737"/>
      <c r="CQ35" s="737"/>
      <c r="CR35" s="737"/>
      <c r="CS35" s="737"/>
      <c r="CT35" s="737"/>
      <c r="CU35" s="737"/>
      <c r="CV35" s="737"/>
      <c r="CW35" s="737"/>
      <c r="CX35" s="737"/>
      <c r="CY35" s="737"/>
      <c r="CZ35" s="737"/>
      <c r="DA35" s="737"/>
      <c r="DB35" s="737"/>
      <c r="DC35" s="737"/>
      <c r="DD35" s="737"/>
      <c r="DE35" s="737"/>
      <c r="DF35" s="737"/>
      <c r="DG35" s="737"/>
      <c r="DH35" s="737"/>
      <c r="DI35" s="737"/>
      <c r="DJ35" s="737"/>
      <c r="DK35" s="737"/>
      <c r="DL35" s="737"/>
      <c r="DM35" s="737"/>
      <c r="DN35" s="737"/>
      <c r="DO35" s="737"/>
      <c r="DP35" s="737"/>
      <c r="DQ35" s="737"/>
      <c r="DR35" s="737"/>
      <c r="DS35" s="737"/>
      <c r="DT35" s="737"/>
      <c r="DU35" s="737"/>
      <c r="DV35" s="737"/>
      <c r="DW35" s="737"/>
      <c r="DX35" s="737"/>
      <c r="DY35" s="737"/>
      <c r="DZ35" s="737"/>
      <c r="EA35" s="737"/>
      <c r="EB35" s="737"/>
      <c r="EC35" s="737"/>
      <c r="ED35" s="737"/>
      <c r="EE35" s="737"/>
      <c r="EF35" s="737"/>
      <c r="EG35" s="737"/>
      <c r="EH35" s="737"/>
      <c r="EI35" s="737"/>
      <c r="EJ35" s="737"/>
      <c r="EK35" s="737"/>
      <c r="EL35" s="737"/>
      <c r="EM35" s="737"/>
      <c r="EN35" s="737"/>
      <c r="EO35" s="737"/>
      <c r="EP35" s="737"/>
      <c r="EQ35" s="737"/>
      <c r="ER35" s="737"/>
      <c r="ES35" s="737"/>
      <c r="ET35" s="737"/>
      <c r="EU35" s="737"/>
      <c r="EV35" s="737"/>
      <c r="EW35" s="737"/>
      <c r="EX35" s="737"/>
      <c r="EY35" s="737"/>
      <c r="EZ35" s="737"/>
      <c r="FA35" s="737"/>
      <c r="FB35" s="737"/>
      <c r="FC35" s="737"/>
      <c r="FD35" s="737"/>
      <c r="FE35" s="737"/>
      <c r="FF35" s="737"/>
      <c r="FG35" s="737"/>
      <c r="FH35" s="737"/>
      <c r="FI35" s="737"/>
      <c r="FJ35" s="737"/>
      <c r="FK35" s="737"/>
      <c r="FL35" s="737"/>
      <c r="FM35" s="737"/>
      <c r="FN35" s="737"/>
      <c r="FO35" s="737"/>
      <c r="FP35" s="737"/>
      <c r="FQ35" s="737"/>
      <c r="FR35" s="737"/>
      <c r="FS35" s="737"/>
      <c r="FT35" s="737"/>
      <c r="FU35" s="737"/>
      <c r="FV35" s="737"/>
      <c r="FW35" s="737"/>
      <c r="FX35" s="737"/>
      <c r="FY35" s="737"/>
      <c r="FZ35" s="737"/>
      <c r="GA35" s="737"/>
      <c r="GB35" s="737"/>
      <c r="GC35" s="737"/>
      <c r="GD35" s="737"/>
      <c r="GE35" s="737"/>
      <c r="GF35" s="737"/>
      <c r="GG35" s="737"/>
      <c r="GH35" s="737"/>
      <c r="GI35" s="737"/>
      <c r="GJ35" s="737"/>
      <c r="GK35" s="737"/>
      <c r="GL35" s="737"/>
      <c r="GM35" s="737"/>
      <c r="GN35" s="737"/>
      <c r="GO35" s="737"/>
      <c r="GP35" s="737"/>
      <c r="GQ35" s="737"/>
      <c r="GR35" s="737"/>
      <c r="GS35" s="737"/>
      <c r="GT35" s="737"/>
      <c r="GU35" s="737"/>
      <c r="GV35" s="737"/>
      <c r="GW35" s="737"/>
      <c r="GX35" s="737"/>
      <c r="GY35" s="737"/>
      <c r="GZ35" s="737"/>
      <c r="HA35" s="737"/>
      <c r="HB35" s="737"/>
      <c r="HC35" s="737"/>
      <c r="HD35" s="737"/>
      <c r="HE35" s="737"/>
      <c r="HF35" s="737"/>
      <c r="HG35" s="737"/>
      <c r="HH35" s="737"/>
      <c r="HI35" s="737"/>
      <c r="HJ35" s="737"/>
      <c r="HK35" s="737"/>
      <c r="HL35" s="737"/>
      <c r="HM35" s="737"/>
      <c r="HN35" s="737"/>
      <c r="HO35" s="737"/>
      <c r="HP35" s="737"/>
      <c r="HQ35" s="737"/>
      <c r="HR35" s="737"/>
      <c r="HS35" s="737"/>
      <c r="HT35" s="737"/>
      <c r="HU35" s="737"/>
      <c r="HV35" s="737"/>
      <c r="HW35" s="737"/>
      <c r="HX35" s="737"/>
      <c r="HY35" s="737"/>
      <c r="HZ35" s="737"/>
      <c r="IA35" s="737"/>
      <c r="IB35" s="737"/>
      <c r="IC35" s="737"/>
      <c r="ID35" s="737"/>
      <c r="IE35" s="737"/>
      <c r="IF35" s="737"/>
      <c r="IG35" s="737"/>
      <c r="IH35" s="737"/>
      <c r="II35" s="737"/>
      <c r="IJ35" s="737"/>
      <c r="IK35" s="737"/>
      <c r="IL35" s="737"/>
      <c r="IM35" s="737"/>
      <c r="IN35" s="737"/>
      <c r="IO35" s="737"/>
      <c r="IP35" s="737"/>
      <c r="IQ35" s="737"/>
      <c r="IR35" s="737"/>
      <c r="IS35" s="737"/>
      <c r="IT35" s="737"/>
      <c r="IU35" s="740"/>
      <c r="IV35" s="737"/>
      <c r="IW35" s="735">
        <v>2</v>
      </c>
      <c r="IX35" s="742">
        <f>+IW35/IW39</f>
        <v>0.1111111111111111</v>
      </c>
      <c r="IY35" s="740">
        <f>+IX35+IX34+IX33</f>
        <v>0.61111111111111116</v>
      </c>
    </row>
    <row r="36" spans="1:775" x14ac:dyDescent="0.35">
      <c r="A36" s="743">
        <v>4</v>
      </c>
      <c r="B36" s="744" t="s">
        <v>84</v>
      </c>
      <c r="C36" s="745"/>
      <c r="D36" s="745"/>
      <c r="E36" s="745"/>
      <c r="F36" s="745"/>
      <c r="G36" s="746"/>
      <c r="H36" s="745"/>
      <c r="I36" s="747"/>
      <c r="J36" s="747"/>
      <c r="K36" s="745"/>
      <c r="L36" s="745"/>
      <c r="M36" s="745"/>
      <c r="N36" s="745"/>
      <c r="O36" s="745"/>
      <c r="P36" s="745"/>
      <c r="Q36" s="745"/>
      <c r="R36" s="745"/>
      <c r="S36" s="747"/>
      <c r="T36" s="745"/>
      <c r="U36" s="745"/>
      <c r="V36" s="745"/>
      <c r="W36" s="745"/>
      <c r="X36" s="745"/>
      <c r="Y36" s="745"/>
      <c r="Z36" s="745"/>
      <c r="AA36" s="745"/>
      <c r="AB36" s="747"/>
      <c r="AC36" s="745"/>
      <c r="AD36" s="745"/>
      <c r="AE36" s="745"/>
      <c r="AF36" s="745"/>
      <c r="AG36" s="745"/>
      <c r="AH36" s="745"/>
      <c r="AI36" s="745"/>
      <c r="AJ36" s="745"/>
      <c r="AK36" s="747"/>
      <c r="AL36" s="745"/>
      <c r="AM36" s="745"/>
      <c r="AN36" s="745"/>
      <c r="AO36" s="745"/>
      <c r="AP36" s="745"/>
      <c r="AQ36" s="745"/>
      <c r="AR36" s="745"/>
      <c r="AS36" s="745"/>
      <c r="AT36" s="747"/>
      <c r="AU36" s="745"/>
      <c r="AV36" s="745"/>
      <c r="AW36" s="745"/>
      <c r="AX36" s="745"/>
      <c r="AY36" s="748"/>
      <c r="AZ36" s="749"/>
      <c r="BA36" s="745"/>
      <c r="BB36" s="745"/>
      <c r="BC36" s="745"/>
      <c r="BD36" s="745"/>
      <c r="BE36" s="745"/>
      <c r="BF36" s="745"/>
      <c r="BG36" s="745"/>
      <c r="BH36" s="745"/>
      <c r="BI36" s="745"/>
      <c r="BJ36" s="745"/>
      <c r="BK36" s="745"/>
      <c r="BL36" s="745"/>
      <c r="BM36" s="745"/>
      <c r="BN36" s="745"/>
      <c r="BO36" s="745"/>
      <c r="BP36" s="745"/>
      <c r="BQ36" s="745"/>
      <c r="BR36" s="745"/>
      <c r="BS36" s="745"/>
      <c r="BT36" s="745"/>
      <c r="BU36" s="745"/>
      <c r="BV36" s="745"/>
      <c r="BW36" s="745"/>
      <c r="BX36" s="745"/>
      <c r="BY36" s="745"/>
      <c r="BZ36" s="745"/>
      <c r="CA36" s="745"/>
      <c r="CB36" s="745"/>
      <c r="CC36" s="745"/>
      <c r="CD36" s="745"/>
      <c r="CE36" s="745"/>
      <c r="CF36" s="745"/>
      <c r="CG36" s="745"/>
      <c r="CH36" s="745"/>
      <c r="CI36" s="745"/>
      <c r="CJ36" s="745"/>
      <c r="CK36" s="745"/>
      <c r="CL36" s="745"/>
      <c r="CM36" s="745"/>
      <c r="CN36" s="745"/>
      <c r="CO36" s="745"/>
      <c r="CP36" s="745"/>
      <c r="CQ36" s="745"/>
      <c r="CR36" s="745"/>
      <c r="CS36" s="745"/>
      <c r="CT36" s="745"/>
      <c r="CU36" s="745"/>
      <c r="CV36" s="745"/>
      <c r="CW36" s="745"/>
      <c r="CX36" s="745"/>
      <c r="CY36" s="745"/>
      <c r="CZ36" s="745"/>
      <c r="DA36" s="745"/>
      <c r="DB36" s="745"/>
      <c r="DC36" s="745"/>
      <c r="DD36" s="745"/>
      <c r="DE36" s="745"/>
      <c r="DF36" s="745"/>
      <c r="DG36" s="745"/>
      <c r="DH36" s="745"/>
      <c r="DI36" s="745"/>
      <c r="DJ36" s="745"/>
      <c r="DK36" s="745"/>
      <c r="DL36" s="745"/>
      <c r="DM36" s="745"/>
      <c r="DN36" s="745"/>
      <c r="DO36" s="745"/>
      <c r="DP36" s="745"/>
      <c r="DQ36" s="745"/>
      <c r="DR36" s="745"/>
      <c r="DS36" s="745"/>
      <c r="DT36" s="745"/>
      <c r="DU36" s="745"/>
      <c r="DV36" s="745"/>
      <c r="DW36" s="745"/>
      <c r="DX36" s="745"/>
      <c r="DY36" s="745"/>
      <c r="DZ36" s="745"/>
      <c r="EA36" s="745"/>
      <c r="EB36" s="745"/>
      <c r="EC36" s="745"/>
      <c r="ED36" s="745"/>
      <c r="EE36" s="745"/>
      <c r="EF36" s="745"/>
      <c r="EG36" s="745"/>
      <c r="EH36" s="745"/>
      <c r="EI36" s="745"/>
      <c r="EJ36" s="745"/>
      <c r="EK36" s="745"/>
      <c r="EL36" s="745"/>
      <c r="EM36" s="745"/>
      <c r="EN36" s="745"/>
      <c r="EO36" s="745"/>
      <c r="EP36" s="745"/>
      <c r="EQ36" s="745"/>
      <c r="ER36" s="745"/>
      <c r="ES36" s="745"/>
      <c r="ET36" s="745"/>
      <c r="EU36" s="745"/>
      <c r="EV36" s="745"/>
      <c r="EW36" s="745"/>
      <c r="EX36" s="745"/>
      <c r="EY36" s="745"/>
      <c r="EZ36" s="745"/>
      <c r="FA36" s="745"/>
      <c r="FB36" s="745"/>
      <c r="FC36" s="745"/>
      <c r="FD36" s="745"/>
      <c r="FE36" s="745"/>
      <c r="FF36" s="745"/>
      <c r="FG36" s="745"/>
      <c r="FH36" s="745"/>
      <c r="FI36" s="745"/>
      <c r="FJ36" s="745"/>
      <c r="FK36" s="745"/>
      <c r="FL36" s="745"/>
      <c r="FM36" s="745"/>
      <c r="FN36" s="745"/>
      <c r="FO36" s="745"/>
      <c r="FP36" s="745"/>
      <c r="FQ36" s="745"/>
      <c r="FR36" s="745"/>
      <c r="FS36" s="745"/>
      <c r="FT36" s="745"/>
      <c r="FU36" s="745"/>
      <c r="FV36" s="745"/>
      <c r="FW36" s="745"/>
      <c r="FX36" s="745"/>
      <c r="FY36" s="745"/>
      <c r="FZ36" s="745"/>
      <c r="GA36" s="745"/>
      <c r="GB36" s="745"/>
      <c r="GC36" s="745"/>
      <c r="GD36" s="745"/>
      <c r="GE36" s="745"/>
      <c r="GF36" s="745"/>
      <c r="GG36" s="745"/>
      <c r="GH36" s="745"/>
      <c r="GI36" s="745"/>
      <c r="GJ36" s="745"/>
      <c r="GK36" s="745"/>
      <c r="GL36" s="745"/>
      <c r="GM36" s="745"/>
      <c r="GN36" s="745"/>
      <c r="GO36" s="745"/>
      <c r="GP36" s="745"/>
      <c r="GQ36" s="745"/>
      <c r="GR36" s="745"/>
      <c r="GS36" s="745"/>
      <c r="GT36" s="745"/>
      <c r="GU36" s="745"/>
      <c r="GV36" s="745"/>
      <c r="GW36" s="745"/>
      <c r="GX36" s="745"/>
      <c r="GY36" s="745"/>
      <c r="GZ36" s="745"/>
      <c r="HA36" s="745"/>
      <c r="HB36" s="745"/>
      <c r="HC36" s="745"/>
      <c r="HD36" s="745"/>
      <c r="HE36" s="745"/>
      <c r="HF36" s="745"/>
      <c r="HG36" s="745"/>
      <c r="HH36" s="745"/>
      <c r="HI36" s="745"/>
      <c r="HJ36" s="745"/>
      <c r="HK36" s="745"/>
      <c r="HL36" s="745"/>
      <c r="HM36" s="745"/>
      <c r="HN36" s="745"/>
      <c r="HO36" s="745"/>
      <c r="HP36" s="745"/>
      <c r="HQ36" s="745"/>
      <c r="HR36" s="745"/>
      <c r="HS36" s="745"/>
      <c r="HT36" s="745"/>
      <c r="HU36" s="745"/>
      <c r="HV36" s="745"/>
      <c r="HW36" s="745"/>
      <c r="HX36" s="745"/>
      <c r="HY36" s="745"/>
      <c r="HZ36" s="745"/>
      <c r="IA36" s="745"/>
      <c r="IB36" s="745"/>
      <c r="IC36" s="745"/>
      <c r="ID36" s="745"/>
      <c r="IE36" s="745"/>
      <c r="IF36" s="745"/>
      <c r="IG36" s="745"/>
      <c r="IH36" s="745"/>
      <c r="II36" s="745"/>
      <c r="IJ36" s="745"/>
      <c r="IK36" s="745"/>
      <c r="IL36" s="745"/>
      <c r="IM36" s="745"/>
      <c r="IN36" s="745"/>
      <c r="IO36" s="745"/>
      <c r="IP36" s="745"/>
      <c r="IQ36" s="745"/>
      <c r="IR36" s="745"/>
      <c r="IS36" s="745"/>
      <c r="IT36" s="745"/>
      <c r="IU36" s="748"/>
      <c r="IV36" s="745"/>
      <c r="IW36" s="743">
        <v>2</v>
      </c>
      <c r="IX36" s="750">
        <f>+IW36/IW39</f>
        <v>0.1111111111111111</v>
      </c>
      <c r="IY36" s="748">
        <v>0.11</v>
      </c>
    </row>
    <row r="37" spans="1:775" x14ac:dyDescent="0.35">
      <c r="A37" s="751">
        <v>5</v>
      </c>
      <c r="B37" s="752" t="s">
        <v>85</v>
      </c>
      <c r="C37" s="753"/>
      <c r="D37" s="753"/>
      <c r="E37" s="753"/>
      <c r="F37" s="753"/>
      <c r="G37" s="754"/>
      <c r="H37" s="753"/>
      <c r="I37" s="755"/>
      <c r="J37" s="755"/>
      <c r="K37" s="753"/>
      <c r="L37" s="753"/>
      <c r="M37" s="753"/>
      <c r="N37" s="753"/>
      <c r="O37" s="753"/>
      <c r="P37" s="753"/>
      <c r="Q37" s="753"/>
      <c r="R37" s="753"/>
      <c r="S37" s="755"/>
      <c r="T37" s="753"/>
      <c r="U37" s="753"/>
      <c r="V37" s="753"/>
      <c r="W37" s="753"/>
      <c r="X37" s="753"/>
      <c r="Y37" s="753"/>
      <c r="Z37" s="753"/>
      <c r="AA37" s="753"/>
      <c r="AB37" s="755"/>
      <c r="AC37" s="753"/>
      <c r="AD37" s="753"/>
      <c r="AE37" s="753"/>
      <c r="AF37" s="753"/>
      <c r="AG37" s="753"/>
      <c r="AH37" s="753"/>
      <c r="AI37" s="753"/>
      <c r="AJ37" s="753"/>
      <c r="AK37" s="755"/>
      <c r="AL37" s="753"/>
      <c r="AM37" s="753"/>
      <c r="AN37" s="753"/>
      <c r="AO37" s="753"/>
      <c r="AP37" s="753"/>
      <c r="AQ37" s="753"/>
      <c r="AR37" s="753"/>
      <c r="AS37" s="753"/>
      <c r="AT37" s="755"/>
      <c r="AU37" s="753"/>
      <c r="AV37" s="753"/>
      <c r="AW37" s="753"/>
      <c r="AX37" s="753"/>
      <c r="AY37" s="756"/>
      <c r="AZ37" s="757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  <c r="BL37" s="753"/>
      <c r="BM37" s="753"/>
      <c r="BN37" s="753"/>
      <c r="BO37" s="753"/>
      <c r="BP37" s="753"/>
      <c r="BQ37" s="753"/>
      <c r="BR37" s="753"/>
      <c r="BS37" s="753"/>
      <c r="BT37" s="753"/>
      <c r="BU37" s="753"/>
      <c r="BV37" s="753"/>
      <c r="BW37" s="753"/>
      <c r="BX37" s="753"/>
      <c r="BY37" s="753"/>
      <c r="BZ37" s="753"/>
      <c r="CA37" s="753"/>
      <c r="CB37" s="753"/>
      <c r="CC37" s="753"/>
      <c r="CD37" s="753"/>
      <c r="CE37" s="753"/>
      <c r="CF37" s="753"/>
      <c r="CG37" s="753"/>
      <c r="CH37" s="753"/>
      <c r="CI37" s="753"/>
      <c r="CJ37" s="753"/>
      <c r="CK37" s="753"/>
      <c r="CL37" s="753"/>
      <c r="CM37" s="753"/>
      <c r="CN37" s="753"/>
      <c r="CO37" s="753"/>
      <c r="CP37" s="753"/>
      <c r="CQ37" s="753"/>
      <c r="CR37" s="753"/>
      <c r="CS37" s="753"/>
      <c r="CT37" s="753"/>
      <c r="CU37" s="753"/>
      <c r="CV37" s="753"/>
      <c r="CW37" s="753"/>
      <c r="CX37" s="753"/>
      <c r="CY37" s="753"/>
      <c r="CZ37" s="753"/>
      <c r="DA37" s="753"/>
      <c r="DB37" s="753"/>
      <c r="DC37" s="753"/>
      <c r="DD37" s="753"/>
      <c r="DE37" s="753"/>
      <c r="DF37" s="753"/>
      <c r="DG37" s="753"/>
      <c r="DH37" s="753"/>
      <c r="DI37" s="753"/>
      <c r="DJ37" s="753"/>
      <c r="DK37" s="753"/>
      <c r="DL37" s="753"/>
      <c r="DM37" s="753"/>
      <c r="DN37" s="753"/>
      <c r="DO37" s="753"/>
      <c r="DP37" s="753"/>
      <c r="DQ37" s="753"/>
      <c r="DR37" s="753"/>
      <c r="DS37" s="753"/>
      <c r="DT37" s="753"/>
      <c r="DU37" s="753"/>
      <c r="DV37" s="753"/>
      <c r="DW37" s="753"/>
      <c r="DX37" s="753"/>
      <c r="DY37" s="753"/>
      <c r="DZ37" s="753"/>
      <c r="EA37" s="753"/>
      <c r="EB37" s="753"/>
      <c r="EC37" s="753"/>
      <c r="ED37" s="753"/>
      <c r="EE37" s="753"/>
      <c r="EF37" s="753"/>
      <c r="EG37" s="753"/>
      <c r="EH37" s="753"/>
      <c r="EI37" s="753"/>
      <c r="EJ37" s="753"/>
      <c r="EK37" s="753"/>
      <c r="EL37" s="753"/>
      <c r="EM37" s="753"/>
      <c r="EN37" s="753"/>
      <c r="EO37" s="753"/>
      <c r="EP37" s="753"/>
      <c r="EQ37" s="753"/>
      <c r="ER37" s="753"/>
      <c r="ES37" s="753"/>
      <c r="ET37" s="753"/>
      <c r="EU37" s="753"/>
      <c r="EV37" s="753"/>
      <c r="EW37" s="753"/>
      <c r="EX37" s="753"/>
      <c r="EY37" s="753"/>
      <c r="EZ37" s="753"/>
      <c r="FA37" s="753"/>
      <c r="FB37" s="753"/>
      <c r="FC37" s="753"/>
      <c r="FD37" s="753"/>
      <c r="FE37" s="753"/>
      <c r="FF37" s="753"/>
      <c r="FG37" s="753"/>
      <c r="FH37" s="753"/>
      <c r="FI37" s="753"/>
      <c r="FJ37" s="753"/>
      <c r="FK37" s="753"/>
      <c r="FL37" s="753"/>
      <c r="FM37" s="753"/>
      <c r="FN37" s="753"/>
      <c r="FO37" s="753"/>
      <c r="FP37" s="753"/>
      <c r="FQ37" s="753"/>
      <c r="FR37" s="753"/>
      <c r="FS37" s="753"/>
      <c r="FT37" s="753"/>
      <c r="FU37" s="753"/>
      <c r="FV37" s="753"/>
      <c r="FW37" s="753"/>
      <c r="FX37" s="753"/>
      <c r="FY37" s="753"/>
      <c r="FZ37" s="753"/>
      <c r="GA37" s="753"/>
      <c r="GB37" s="753"/>
      <c r="GC37" s="753"/>
      <c r="GD37" s="753"/>
      <c r="GE37" s="753"/>
      <c r="GF37" s="753"/>
      <c r="GG37" s="753"/>
      <c r="GH37" s="753"/>
      <c r="GI37" s="753"/>
      <c r="GJ37" s="753"/>
      <c r="GK37" s="753"/>
      <c r="GL37" s="753"/>
      <c r="GM37" s="753"/>
      <c r="GN37" s="753"/>
      <c r="GO37" s="753"/>
      <c r="GP37" s="753"/>
      <c r="GQ37" s="753"/>
      <c r="GR37" s="753"/>
      <c r="GS37" s="753"/>
      <c r="GT37" s="753"/>
      <c r="GU37" s="753"/>
      <c r="GV37" s="753"/>
      <c r="GW37" s="753"/>
      <c r="GX37" s="753"/>
      <c r="GY37" s="753"/>
      <c r="GZ37" s="753"/>
      <c r="HA37" s="753"/>
      <c r="HB37" s="753"/>
      <c r="HC37" s="753"/>
      <c r="HD37" s="753"/>
      <c r="HE37" s="753"/>
      <c r="HF37" s="753"/>
      <c r="HG37" s="753"/>
      <c r="HH37" s="753"/>
      <c r="HI37" s="753"/>
      <c r="HJ37" s="753"/>
      <c r="HK37" s="753"/>
      <c r="HL37" s="753"/>
      <c r="HM37" s="753"/>
      <c r="HN37" s="753"/>
      <c r="HO37" s="753"/>
      <c r="HP37" s="753"/>
      <c r="HQ37" s="753"/>
      <c r="HR37" s="753"/>
      <c r="HS37" s="753"/>
      <c r="HT37" s="753"/>
      <c r="HU37" s="753"/>
      <c r="HV37" s="753"/>
      <c r="HW37" s="753"/>
      <c r="HX37" s="753"/>
      <c r="HY37" s="753"/>
      <c r="HZ37" s="753"/>
      <c r="IA37" s="753"/>
      <c r="IB37" s="753"/>
      <c r="IC37" s="753"/>
      <c r="ID37" s="753"/>
      <c r="IE37" s="753"/>
      <c r="IF37" s="753"/>
      <c r="IG37" s="753"/>
      <c r="IH37" s="753"/>
      <c r="II37" s="753"/>
      <c r="IJ37" s="753"/>
      <c r="IK37" s="753"/>
      <c r="IL37" s="753"/>
      <c r="IM37" s="753"/>
      <c r="IN37" s="753"/>
      <c r="IO37" s="753"/>
      <c r="IP37" s="753"/>
      <c r="IQ37" s="753"/>
      <c r="IR37" s="753"/>
      <c r="IS37" s="753"/>
      <c r="IT37" s="753"/>
      <c r="IU37" s="756"/>
      <c r="IV37" s="753"/>
      <c r="IW37" s="751">
        <v>2</v>
      </c>
      <c r="IX37" s="758">
        <f>+IW37/IW39</f>
        <v>0.1111111111111111</v>
      </c>
      <c r="IY37" s="753"/>
    </row>
    <row r="38" spans="1:775" x14ac:dyDescent="0.35">
      <c r="A38" s="751">
        <v>6</v>
      </c>
      <c r="B38" s="752" t="s">
        <v>86</v>
      </c>
      <c r="C38" s="753"/>
      <c r="D38" s="753"/>
      <c r="E38" s="753"/>
      <c r="F38" s="753"/>
      <c r="G38" s="754"/>
      <c r="H38" s="753"/>
      <c r="I38" s="755"/>
      <c r="J38" s="755"/>
      <c r="K38" s="753"/>
      <c r="L38" s="753"/>
      <c r="M38" s="753"/>
      <c r="N38" s="753"/>
      <c r="O38" s="753"/>
      <c r="P38" s="753"/>
      <c r="Q38" s="753"/>
      <c r="R38" s="753"/>
      <c r="S38" s="755"/>
      <c r="T38" s="753"/>
      <c r="U38" s="753"/>
      <c r="V38" s="753"/>
      <c r="W38" s="753"/>
      <c r="X38" s="753"/>
      <c r="Y38" s="753"/>
      <c r="Z38" s="753"/>
      <c r="AA38" s="753"/>
      <c r="AB38" s="755"/>
      <c r="AC38" s="753"/>
      <c r="AD38" s="753"/>
      <c r="AE38" s="753"/>
      <c r="AF38" s="753"/>
      <c r="AG38" s="753"/>
      <c r="AH38" s="753"/>
      <c r="AI38" s="753"/>
      <c r="AJ38" s="753"/>
      <c r="AK38" s="755"/>
      <c r="AL38" s="753"/>
      <c r="AM38" s="753"/>
      <c r="AN38" s="753"/>
      <c r="AO38" s="753"/>
      <c r="AP38" s="753"/>
      <c r="AQ38" s="753"/>
      <c r="AR38" s="753"/>
      <c r="AS38" s="753"/>
      <c r="AT38" s="755"/>
      <c r="AU38" s="753"/>
      <c r="AV38" s="753"/>
      <c r="AW38" s="753"/>
      <c r="AX38" s="753"/>
      <c r="AY38" s="756"/>
      <c r="AZ38" s="757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  <c r="BL38" s="753"/>
      <c r="BM38" s="753"/>
      <c r="BN38" s="753"/>
      <c r="BO38" s="753"/>
      <c r="BP38" s="753"/>
      <c r="BQ38" s="753"/>
      <c r="BR38" s="753"/>
      <c r="BS38" s="753"/>
      <c r="BT38" s="753"/>
      <c r="BU38" s="753"/>
      <c r="BV38" s="753"/>
      <c r="BW38" s="753"/>
      <c r="BX38" s="753"/>
      <c r="BY38" s="753"/>
      <c r="BZ38" s="753"/>
      <c r="CA38" s="753"/>
      <c r="CB38" s="753"/>
      <c r="CC38" s="753"/>
      <c r="CD38" s="753"/>
      <c r="CE38" s="753"/>
      <c r="CF38" s="753"/>
      <c r="CG38" s="753"/>
      <c r="CH38" s="753"/>
      <c r="CI38" s="753"/>
      <c r="CJ38" s="753"/>
      <c r="CK38" s="753"/>
      <c r="CL38" s="753"/>
      <c r="CM38" s="753"/>
      <c r="CN38" s="753"/>
      <c r="CO38" s="753"/>
      <c r="CP38" s="753"/>
      <c r="CQ38" s="753"/>
      <c r="CR38" s="753"/>
      <c r="CS38" s="753"/>
      <c r="CT38" s="753"/>
      <c r="CU38" s="753"/>
      <c r="CV38" s="753"/>
      <c r="CW38" s="753"/>
      <c r="CX38" s="753"/>
      <c r="CY38" s="753"/>
      <c r="CZ38" s="753"/>
      <c r="DA38" s="753"/>
      <c r="DB38" s="753"/>
      <c r="DC38" s="753"/>
      <c r="DD38" s="753"/>
      <c r="DE38" s="753"/>
      <c r="DF38" s="753"/>
      <c r="DG38" s="753"/>
      <c r="DH38" s="753"/>
      <c r="DI38" s="753"/>
      <c r="DJ38" s="753"/>
      <c r="DK38" s="753"/>
      <c r="DL38" s="753"/>
      <c r="DM38" s="753"/>
      <c r="DN38" s="753"/>
      <c r="DO38" s="753"/>
      <c r="DP38" s="753"/>
      <c r="DQ38" s="753"/>
      <c r="DR38" s="753"/>
      <c r="DS38" s="753"/>
      <c r="DT38" s="753"/>
      <c r="DU38" s="753"/>
      <c r="DV38" s="753"/>
      <c r="DW38" s="753"/>
      <c r="DX38" s="753"/>
      <c r="DY38" s="753"/>
      <c r="DZ38" s="753"/>
      <c r="EA38" s="753"/>
      <c r="EB38" s="753"/>
      <c r="EC38" s="753"/>
      <c r="ED38" s="753"/>
      <c r="EE38" s="753"/>
      <c r="EF38" s="753"/>
      <c r="EG38" s="753"/>
      <c r="EH38" s="753"/>
      <c r="EI38" s="753"/>
      <c r="EJ38" s="753"/>
      <c r="EK38" s="753"/>
      <c r="EL38" s="753"/>
      <c r="EM38" s="753"/>
      <c r="EN38" s="753"/>
      <c r="EO38" s="753"/>
      <c r="EP38" s="753"/>
      <c r="EQ38" s="753"/>
      <c r="ER38" s="753"/>
      <c r="ES38" s="753"/>
      <c r="ET38" s="753"/>
      <c r="EU38" s="753"/>
      <c r="EV38" s="753"/>
      <c r="EW38" s="753"/>
      <c r="EX38" s="753"/>
      <c r="EY38" s="753"/>
      <c r="EZ38" s="753"/>
      <c r="FA38" s="753"/>
      <c r="FB38" s="753"/>
      <c r="FC38" s="753"/>
      <c r="FD38" s="753"/>
      <c r="FE38" s="753"/>
      <c r="FF38" s="753"/>
      <c r="FG38" s="753"/>
      <c r="FH38" s="753"/>
      <c r="FI38" s="753"/>
      <c r="FJ38" s="753"/>
      <c r="FK38" s="753"/>
      <c r="FL38" s="753"/>
      <c r="FM38" s="753"/>
      <c r="FN38" s="753"/>
      <c r="FO38" s="753"/>
      <c r="FP38" s="753"/>
      <c r="FQ38" s="753"/>
      <c r="FR38" s="753"/>
      <c r="FS38" s="753"/>
      <c r="FT38" s="753"/>
      <c r="FU38" s="753"/>
      <c r="FV38" s="753"/>
      <c r="FW38" s="753"/>
      <c r="FX38" s="753"/>
      <c r="FY38" s="753"/>
      <c r="FZ38" s="753"/>
      <c r="GA38" s="753"/>
      <c r="GB38" s="753"/>
      <c r="GC38" s="753"/>
      <c r="GD38" s="753"/>
      <c r="GE38" s="753"/>
      <c r="GF38" s="753"/>
      <c r="GG38" s="753"/>
      <c r="GH38" s="753"/>
      <c r="GI38" s="753"/>
      <c r="GJ38" s="753"/>
      <c r="GK38" s="753"/>
      <c r="GL38" s="753"/>
      <c r="GM38" s="753"/>
      <c r="GN38" s="753"/>
      <c r="GO38" s="753"/>
      <c r="GP38" s="753"/>
      <c r="GQ38" s="753"/>
      <c r="GR38" s="753"/>
      <c r="GS38" s="753"/>
      <c r="GT38" s="753"/>
      <c r="GU38" s="753"/>
      <c r="GV38" s="753"/>
      <c r="GW38" s="753"/>
      <c r="GX38" s="753"/>
      <c r="GY38" s="753"/>
      <c r="GZ38" s="753"/>
      <c r="HA38" s="753"/>
      <c r="HB38" s="753"/>
      <c r="HC38" s="753"/>
      <c r="HD38" s="753"/>
      <c r="HE38" s="753"/>
      <c r="HF38" s="753"/>
      <c r="HG38" s="753"/>
      <c r="HH38" s="753"/>
      <c r="HI38" s="753"/>
      <c r="HJ38" s="753"/>
      <c r="HK38" s="753"/>
      <c r="HL38" s="753"/>
      <c r="HM38" s="753"/>
      <c r="HN38" s="753"/>
      <c r="HO38" s="753"/>
      <c r="HP38" s="753"/>
      <c r="HQ38" s="753"/>
      <c r="HR38" s="753"/>
      <c r="HS38" s="753"/>
      <c r="HT38" s="753"/>
      <c r="HU38" s="753"/>
      <c r="HV38" s="753"/>
      <c r="HW38" s="753"/>
      <c r="HX38" s="753"/>
      <c r="HY38" s="753"/>
      <c r="HZ38" s="753"/>
      <c r="IA38" s="753"/>
      <c r="IB38" s="753"/>
      <c r="IC38" s="753"/>
      <c r="ID38" s="753"/>
      <c r="IE38" s="753"/>
      <c r="IF38" s="753"/>
      <c r="IG38" s="753"/>
      <c r="IH38" s="753"/>
      <c r="II38" s="753"/>
      <c r="IJ38" s="753"/>
      <c r="IK38" s="753"/>
      <c r="IL38" s="753"/>
      <c r="IM38" s="753"/>
      <c r="IN38" s="753"/>
      <c r="IO38" s="753"/>
      <c r="IP38" s="753"/>
      <c r="IQ38" s="753"/>
      <c r="IR38" s="753"/>
      <c r="IS38" s="753"/>
      <c r="IT38" s="753"/>
      <c r="IU38" s="756"/>
      <c r="IV38" s="753"/>
      <c r="IW38" s="751">
        <v>3</v>
      </c>
      <c r="IX38" s="758">
        <f>+IW38/IW39</f>
        <v>0.16666666666666666</v>
      </c>
      <c r="IY38" s="756">
        <f>+IX38+IX37</f>
        <v>0.27777777777777779</v>
      </c>
    </row>
    <row r="39" spans="1:775" x14ac:dyDescent="0.35">
      <c r="A39" s="759"/>
      <c r="B39" s="760"/>
      <c r="C39" s="2"/>
      <c r="D39" s="2"/>
      <c r="E39" s="2"/>
      <c r="F39" s="2"/>
      <c r="G39" s="761"/>
      <c r="H39" s="2"/>
      <c r="I39" s="1"/>
      <c r="J39" s="1"/>
      <c r="L39" s="2"/>
      <c r="M39" s="2"/>
      <c r="N39" s="2"/>
      <c r="O39" s="2"/>
      <c r="P39" s="2"/>
      <c r="Q39" s="2"/>
      <c r="R39" s="2"/>
      <c r="S39" s="1"/>
      <c r="U39" s="2"/>
      <c r="V39" s="2"/>
      <c r="W39" s="2"/>
      <c r="X39" s="2"/>
      <c r="Y39" s="2"/>
      <c r="Z39" s="2"/>
      <c r="AA39" s="2"/>
      <c r="AB39" s="1"/>
      <c r="AD39" s="2"/>
      <c r="AE39" s="2"/>
      <c r="AF39" s="2"/>
      <c r="AG39" s="2"/>
      <c r="AH39" s="2"/>
      <c r="AI39" s="2"/>
      <c r="AJ39" s="2"/>
      <c r="AK39" s="1"/>
      <c r="AL39" s="2"/>
      <c r="AM39" s="2"/>
      <c r="AN39" s="2"/>
      <c r="AO39" s="2"/>
      <c r="AP39" s="2"/>
      <c r="AQ39" s="2"/>
      <c r="AR39" s="2"/>
      <c r="AS39" s="2"/>
      <c r="AT39" s="1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3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V39" s="2"/>
      <c r="IW39" s="43">
        <f>SUM(IW33:IW38)</f>
        <v>18</v>
      </c>
      <c r="IX39" s="763">
        <f>SUM(IX33:IX38)</f>
        <v>1.0000000000000002</v>
      </c>
      <c r="IY39" s="4">
        <f>SUM(IY35:IY38)</f>
        <v>0.99888888888888894</v>
      </c>
    </row>
    <row r="41" spans="1:775" ht="68.25" customHeight="1" x14ac:dyDescent="0.35">
      <c r="A41" s="770" t="s">
        <v>87</v>
      </c>
      <c r="B41" s="771"/>
      <c r="C41" s="771"/>
      <c r="D41" s="771"/>
      <c r="E41" s="771"/>
      <c r="F41" s="771"/>
      <c r="G41" s="771"/>
      <c r="H41" s="771"/>
      <c r="I41" s="771"/>
      <c r="J41" s="771"/>
      <c r="K41" s="771"/>
      <c r="L41" s="771"/>
      <c r="M41" s="771"/>
      <c r="N41" s="771"/>
      <c r="O41" s="771"/>
      <c r="P41" s="771"/>
      <c r="Q41" s="771"/>
      <c r="R41" s="771"/>
      <c r="S41" s="771"/>
      <c r="T41" s="771"/>
      <c r="U41" s="771"/>
      <c r="V41" s="771"/>
      <c r="W41" s="771"/>
      <c r="X41" s="771"/>
      <c r="Y41" s="771"/>
      <c r="Z41" s="771"/>
      <c r="AA41" s="771"/>
      <c r="AB41" s="771"/>
      <c r="AC41" s="771"/>
      <c r="AD41" s="771"/>
      <c r="AE41" s="771"/>
      <c r="AF41" s="771"/>
      <c r="AG41" s="771"/>
      <c r="AH41" s="771"/>
      <c r="AI41" s="771"/>
      <c r="AJ41" s="771"/>
      <c r="AK41" s="771"/>
      <c r="AL41" s="771"/>
      <c r="AM41" s="771"/>
      <c r="AN41" s="771"/>
      <c r="AO41" s="771"/>
      <c r="AP41" s="771"/>
      <c r="AQ41" s="771"/>
      <c r="AR41" s="771"/>
      <c r="AS41" s="771"/>
      <c r="AT41" s="771"/>
      <c r="AU41" s="771"/>
      <c r="AV41" s="771"/>
      <c r="AW41" s="771"/>
      <c r="AX41" s="771"/>
      <c r="AY41" s="771"/>
      <c r="AZ41" s="771"/>
      <c r="BA41" s="771"/>
      <c r="BB41" s="771"/>
      <c r="BC41" s="771"/>
      <c r="BD41" s="771"/>
      <c r="BE41" s="771"/>
      <c r="BF41" s="771"/>
      <c r="BG41" s="771"/>
      <c r="BH41" s="771"/>
      <c r="BI41" s="771"/>
      <c r="BJ41" s="771"/>
      <c r="BK41" s="771"/>
      <c r="BL41" s="771"/>
      <c r="BM41" s="771"/>
      <c r="BN41" s="771"/>
      <c r="BO41" s="771"/>
      <c r="BP41" s="771"/>
      <c r="BQ41" s="771"/>
      <c r="BR41" s="771"/>
      <c r="BS41" s="771"/>
      <c r="BT41" s="771"/>
      <c r="BU41" s="771"/>
      <c r="BV41" s="771"/>
      <c r="BW41" s="771"/>
      <c r="BX41" s="771"/>
      <c r="BY41" s="771"/>
      <c r="BZ41" s="771"/>
      <c r="CA41" s="771"/>
      <c r="CB41" s="771"/>
      <c r="CC41" s="771"/>
      <c r="CD41" s="771"/>
      <c r="CE41" s="771"/>
      <c r="CF41" s="771"/>
      <c r="CG41" s="771"/>
      <c r="CH41" s="771"/>
      <c r="CI41" s="771"/>
      <c r="CJ41" s="771"/>
      <c r="CK41" s="771"/>
      <c r="CL41" s="771"/>
      <c r="CM41" s="771"/>
      <c r="CN41" s="771"/>
      <c r="CO41" s="771"/>
      <c r="CP41" s="771"/>
      <c r="CQ41" s="771"/>
      <c r="CR41" s="771"/>
      <c r="CS41" s="771"/>
      <c r="CT41" s="771"/>
      <c r="CU41" s="771"/>
      <c r="CV41" s="771"/>
      <c r="CW41" s="771"/>
      <c r="CX41" s="771"/>
      <c r="CY41" s="771"/>
      <c r="CZ41" s="771"/>
      <c r="DA41" s="771"/>
      <c r="DB41" s="771"/>
      <c r="DC41" s="771"/>
      <c r="DD41" s="771"/>
      <c r="DE41" s="771"/>
      <c r="DF41" s="771"/>
      <c r="DG41" s="771"/>
      <c r="DH41" s="771"/>
      <c r="DI41" s="771"/>
      <c r="DJ41" s="771"/>
      <c r="DK41" s="771"/>
      <c r="DL41" s="771"/>
      <c r="DM41" s="771"/>
      <c r="DN41" s="771"/>
      <c r="DO41" s="771"/>
      <c r="DP41" s="771"/>
      <c r="DQ41" s="771"/>
      <c r="DR41" s="771"/>
      <c r="DS41" s="771"/>
      <c r="DT41" s="771"/>
      <c r="DU41" s="771"/>
      <c r="DV41" s="771"/>
      <c r="DW41" s="771"/>
      <c r="DX41" s="771"/>
      <c r="DY41" s="771"/>
      <c r="DZ41" s="771"/>
      <c r="EA41" s="771"/>
      <c r="EB41" s="771"/>
      <c r="EC41" s="771"/>
      <c r="ED41" s="771"/>
      <c r="EE41" s="771"/>
      <c r="EF41" s="771"/>
      <c r="EG41" s="771"/>
      <c r="EH41" s="771"/>
      <c r="EI41" s="771"/>
      <c r="EJ41" s="771"/>
      <c r="EK41" s="771"/>
      <c r="EL41" s="771"/>
      <c r="EM41" s="771"/>
      <c r="EN41" s="771"/>
      <c r="EO41" s="771"/>
      <c r="EP41" s="771"/>
      <c r="EQ41" s="771"/>
      <c r="ER41" s="771"/>
      <c r="ES41" s="771"/>
      <c r="ET41" s="771"/>
      <c r="EU41" s="771"/>
      <c r="EV41" s="771"/>
      <c r="EW41" s="771"/>
      <c r="EX41" s="771"/>
      <c r="EY41" s="771"/>
      <c r="EZ41" s="771"/>
      <c r="FA41" s="771"/>
      <c r="FB41" s="771"/>
      <c r="FC41" s="771"/>
      <c r="FD41" s="771"/>
      <c r="FE41" s="771"/>
      <c r="FF41" s="771"/>
      <c r="FG41" s="771"/>
      <c r="FH41" s="771"/>
      <c r="FI41" s="771"/>
      <c r="FJ41" s="771"/>
      <c r="FK41" s="771"/>
      <c r="FL41" s="771"/>
      <c r="FM41" s="771"/>
      <c r="FN41" s="771"/>
      <c r="FO41" s="771"/>
      <c r="FP41" s="771"/>
      <c r="FQ41" s="771"/>
      <c r="FR41" s="771"/>
      <c r="FS41" s="771"/>
      <c r="FT41" s="771"/>
      <c r="FU41" s="771"/>
      <c r="FV41" s="771"/>
      <c r="FW41" s="771"/>
      <c r="FX41" s="771"/>
      <c r="FY41" s="771"/>
      <c r="FZ41" s="771"/>
      <c r="GA41" s="771"/>
      <c r="GB41" s="771"/>
      <c r="GC41" s="771"/>
      <c r="GD41" s="771"/>
      <c r="GE41" s="771"/>
      <c r="GF41" s="771"/>
      <c r="GG41" s="771"/>
      <c r="GH41" s="771"/>
      <c r="GI41" s="771"/>
      <c r="GJ41" s="771"/>
      <c r="GK41" s="771"/>
      <c r="GL41" s="771"/>
      <c r="GM41" s="771"/>
      <c r="GN41" s="771"/>
      <c r="GO41" s="771"/>
      <c r="GP41" s="771"/>
      <c r="GQ41" s="771"/>
      <c r="GR41" s="771"/>
      <c r="GS41" s="771"/>
      <c r="GT41" s="771"/>
      <c r="GU41" s="771"/>
      <c r="GV41" s="771"/>
      <c r="GW41" s="771"/>
      <c r="GX41" s="771"/>
      <c r="GY41" s="771"/>
      <c r="GZ41" s="771"/>
      <c r="HA41" s="771"/>
      <c r="HB41" s="771"/>
      <c r="HC41" s="771"/>
      <c r="HD41" s="771"/>
      <c r="HE41" s="771"/>
      <c r="HF41" s="771"/>
      <c r="HG41" s="771"/>
      <c r="HH41" s="771"/>
      <c r="HI41" s="771"/>
      <c r="HJ41" s="771"/>
      <c r="HK41" s="771"/>
      <c r="HL41" s="771"/>
      <c r="HM41" s="771"/>
      <c r="HN41" s="771"/>
      <c r="HO41" s="771"/>
      <c r="HP41" s="771"/>
      <c r="HQ41" s="771"/>
      <c r="HR41" s="771"/>
      <c r="HS41" s="771"/>
      <c r="HT41" s="771"/>
      <c r="HU41" s="771"/>
      <c r="HV41" s="771"/>
      <c r="HW41" s="771"/>
      <c r="HX41" s="771"/>
      <c r="HY41" s="771"/>
      <c r="HZ41" s="771"/>
      <c r="IA41" s="771"/>
      <c r="IB41" s="771"/>
      <c r="IC41" s="771"/>
      <c r="ID41" s="771"/>
      <c r="IE41" s="771"/>
      <c r="IF41" s="771"/>
      <c r="IG41" s="771"/>
      <c r="IH41" s="771"/>
      <c r="II41" s="771"/>
      <c r="IJ41" s="771"/>
      <c r="IK41" s="771"/>
      <c r="IL41" s="771"/>
      <c r="IM41" s="771"/>
      <c r="IN41" s="771"/>
      <c r="IO41" s="771"/>
      <c r="IP41" s="771"/>
      <c r="IQ41" s="771"/>
      <c r="IR41" s="771"/>
      <c r="IS41" s="771"/>
      <c r="IT41" s="771"/>
      <c r="IU41" s="771"/>
      <c r="IV41" s="771"/>
      <c r="IW41" s="771"/>
      <c r="IX41" s="771"/>
      <c r="IY41" s="771"/>
      <c r="IZ41" s="771"/>
      <c r="JA41" s="771"/>
      <c r="JB41" s="771"/>
      <c r="JC41" s="771"/>
      <c r="JD41" s="771"/>
      <c r="JE41" s="771"/>
      <c r="JF41" s="771"/>
      <c r="JG41" s="771"/>
      <c r="JH41" s="771"/>
      <c r="JI41" s="771"/>
      <c r="JJ41" s="771"/>
      <c r="JK41" s="771"/>
      <c r="JL41" s="771"/>
      <c r="JM41" s="771"/>
      <c r="JN41" s="771"/>
      <c r="JO41" s="771"/>
      <c r="JP41" s="771"/>
      <c r="JQ41" s="771"/>
      <c r="JR41" s="771"/>
      <c r="JS41" s="771"/>
      <c r="JT41" s="771"/>
      <c r="JU41" s="771"/>
      <c r="JV41" s="771"/>
      <c r="JW41" s="771"/>
      <c r="JX41" s="771"/>
      <c r="JY41" s="771"/>
      <c r="JZ41" s="771"/>
      <c r="KA41" s="771"/>
      <c r="KB41" s="771"/>
      <c r="KC41" s="771"/>
      <c r="KD41" s="771"/>
      <c r="KE41" s="771"/>
      <c r="KF41" s="771"/>
      <c r="KG41" s="771"/>
      <c r="KH41" s="771"/>
      <c r="KI41" s="771"/>
      <c r="KJ41" s="771"/>
      <c r="KK41" s="771"/>
      <c r="KL41" s="771"/>
      <c r="KM41" s="771"/>
      <c r="KN41" s="771"/>
      <c r="KO41" s="771"/>
      <c r="KP41" s="771"/>
      <c r="KQ41" s="771"/>
      <c r="KR41" s="771"/>
      <c r="KS41" s="771"/>
      <c r="KT41" s="771"/>
      <c r="KU41" s="771"/>
      <c r="KV41" s="771"/>
      <c r="KW41" s="771"/>
      <c r="KX41" s="771"/>
      <c r="KY41" s="771"/>
      <c r="KZ41" s="771"/>
      <c r="LA41" s="771"/>
      <c r="LB41" s="771"/>
      <c r="LC41" s="771"/>
      <c r="LD41" s="771"/>
      <c r="LE41" s="771"/>
      <c r="LF41" s="771"/>
      <c r="LG41" s="771"/>
      <c r="LH41" s="771"/>
      <c r="LI41" s="771"/>
      <c r="LJ41" s="771"/>
      <c r="LK41" s="771"/>
      <c r="LL41" s="771"/>
      <c r="LM41" s="771"/>
      <c r="LN41" s="771"/>
      <c r="LO41" s="771"/>
      <c r="LP41" s="771"/>
      <c r="LQ41" s="771"/>
      <c r="LR41" s="771"/>
      <c r="LS41" s="771"/>
      <c r="LT41" s="771"/>
      <c r="LU41" s="771"/>
      <c r="LV41" s="771"/>
      <c r="LW41" s="771"/>
      <c r="LX41" s="771"/>
      <c r="LY41" s="771"/>
      <c r="LZ41" s="771"/>
      <c r="MA41" s="771"/>
      <c r="MB41" s="771"/>
      <c r="MC41" s="771"/>
      <c r="MD41" s="771"/>
      <c r="ME41" s="771"/>
      <c r="MF41" s="771"/>
      <c r="MG41" s="771"/>
      <c r="MH41" s="771"/>
      <c r="MI41" s="771"/>
      <c r="MJ41" s="771"/>
      <c r="MK41" s="771"/>
      <c r="ML41" s="771"/>
      <c r="MM41" s="771"/>
      <c r="MN41" s="771"/>
      <c r="MO41" s="771"/>
      <c r="MP41" s="771"/>
      <c r="MQ41" s="771"/>
      <c r="MR41" s="771"/>
      <c r="MS41" s="771"/>
      <c r="MT41" s="771"/>
      <c r="MU41" s="771"/>
      <c r="MV41" s="771"/>
      <c r="MW41" s="771"/>
      <c r="MX41" s="771"/>
      <c r="MY41" s="771"/>
      <c r="MZ41" s="771"/>
      <c r="NA41" s="771"/>
      <c r="NB41" s="771"/>
      <c r="NC41" s="771"/>
      <c r="ND41" s="771"/>
      <c r="NE41" s="771"/>
      <c r="NF41" s="771"/>
      <c r="NG41" s="771"/>
      <c r="NH41" s="771"/>
      <c r="NI41" s="771"/>
      <c r="NJ41" s="771"/>
      <c r="NK41" s="771"/>
      <c r="NL41" s="771"/>
      <c r="NM41" s="771"/>
      <c r="NN41" s="771"/>
      <c r="NO41" s="771"/>
      <c r="NP41" s="771"/>
      <c r="NQ41" s="771"/>
      <c r="NR41" s="771"/>
      <c r="NS41" s="771"/>
      <c r="NT41" s="771"/>
      <c r="NU41" s="771"/>
      <c r="NV41" s="771"/>
      <c r="NW41" s="771"/>
      <c r="NX41" s="771"/>
      <c r="NY41" s="771"/>
      <c r="NZ41" s="771"/>
      <c r="OA41" s="771"/>
      <c r="OB41" s="771"/>
      <c r="OC41" s="771"/>
      <c r="OD41" s="771"/>
      <c r="OE41" s="771"/>
      <c r="OF41" s="771"/>
      <c r="OG41" s="771"/>
      <c r="OH41" s="771"/>
      <c r="OI41" s="771"/>
      <c r="OJ41" s="771"/>
      <c r="OK41" s="771"/>
      <c r="OL41" s="771"/>
      <c r="OM41" s="771"/>
      <c r="ON41" s="771"/>
      <c r="OO41" s="771"/>
      <c r="OP41" s="771"/>
      <c r="OQ41" s="771"/>
      <c r="OR41" s="771"/>
      <c r="OS41" s="771"/>
      <c r="OT41" s="771"/>
      <c r="OU41" s="771"/>
      <c r="OV41" s="771"/>
      <c r="OW41" s="771"/>
      <c r="OX41" s="771"/>
      <c r="OY41" s="771"/>
      <c r="OZ41" s="771"/>
      <c r="PA41" s="771"/>
      <c r="PB41" s="771"/>
      <c r="PC41" s="771"/>
      <c r="PD41" s="771"/>
      <c r="PE41" s="771"/>
      <c r="PF41" s="771"/>
      <c r="PG41" s="771"/>
      <c r="PH41" s="771"/>
      <c r="PI41" s="771"/>
      <c r="PJ41" s="771"/>
      <c r="PK41" s="771"/>
      <c r="PL41" s="771"/>
      <c r="PM41" s="771"/>
      <c r="PN41" s="771"/>
      <c r="PO41" s="771"/>
      <c r="PP41" s="771"/>
      <c r="PQ41" s="771"/>
      <c r="PR41" s="771"/>
      <c r="PS41" s="771"/>
      <c r="PT41" s="771"/>
      <c r="PU41" s="771"/>
      <c r="PV41" s="771"/>
      <c r="PW41" s="771"/>
      <c r="PX41" s="771"/>
      <c r="PY41" s="771"/>
      <c r="PZ41" s="771"/>
      <c r="QA41" s="771"/>
      <c r="QB41" s="771"/>
      <c r="QC41" s="771"/>
      <c r="QD41" s="771"/>
      <c r="QE41" s="771"/>
      <c r="QF41" s="771"/>
      <c r="QG41" s="771"/>
      <c r="QH41" s="771"/>
      <c r="QI41" s="771"/>
      <c r="QJ41" s="771"/>
      <c r="QK41" s="771"/>
      <c r="QL41" s="771"/>
      <c r="QM41" s="771"/>
      <c r="QN41" s="771"/>
      <c r="QO41" s="771"/>
      <c r="QP41" s="771"/>
      <c r="QQ41" s="771"/>
      <c r="QR41" s="771"/>
      <c r="QS41" s="771"/>
      <c r="QT41" s="771"/>
      <c r="QU41" s="771"/>
      <c r="QV41" s="771"/>
      <c r="QW41" s="771"/>
      <c r="QX41" s="771"/>
      <c r="QY41" s="771"/>
      <c r="QZ41" s="771"/>
      <c r="RA41" s="771"/>
      <c r="RB41" s="771"/>
      <c r="RC41" s="771"/>
      <c r="RD41" s="771"/>
      <c r="RE41" s="771"/>
      <c r="RF41" s="771"/>
      <c r="RG41" s="771"/>
      <c r="RH41" s="771"/>
      <c r="RI41" s="771"/>
      <c r="RJ41" s="771"/>
      <c r="RK41" s="771"/>
      <c r="RL41" s="771"/>
      <c r="RM41" s="771"/>
      <c r="RN41" s="771"/>
      <c r="RO41" s="771"/>
      <c r="RP41" s="771"/>
      <c r="RQ41" s="771"/>
      <c r="RR41" s="771"/>
      <c r="RS41" s="771"/>
      <c r="RT41" s="771"/>
      <c r="RU41" s="771"/>
      <c r="RV41" s="771"/>
      <c r="RW41" s="771"/>
      <c r="RX41" s="771"/>
      <c r="RY41" s="771"/>
      <c r="RZ41" s="771"/>
      <c r="SA41" s="771"/>
      <c r="SB41" s="771"/>
      <c r="SC41" s="771"/>
      <c r="SD41" s="771"/>
      <c r="SE41" s="771"/>
      <c r="SF41" s="771"/>
      <c r="SG41" s="771"/>
      <c r="SH41" s="771"/>
      <c r="SI41" s="771"/>
      <c r="SJ41" s="771"/>
      <c r="SK41" s="771"/>
      <c r="SL41" s="771"/>
      <c r="SM41" s="771"/>
      <c r="SN41" s="771"/>
      <c r="SO41" s="771"/>
      <c r="SP41" s="771"/>
      <c r="SQ41" s="771"/>
      <c r="SR41" s="771"/>
      <c r="SS41" s="771"/>
      <c r="ST41" s="771"/>
      <c r="SU41" s="771"/>
      <c r="SV41" s="771"/>
      <c r="SW41" s="771"/>
      <c r="SX41" s="771"/>
      <c r="SY41" s="771"/>
      <c r="SZ41" s="771"/>
      <c r="TA41" s="771"/>
      <c r="TB41" s="771"/>
      <c r="TC41" s="771"/>
      <c r="TD41" s="771"/>
      <c r="TE41" s="771"/>
      <c r="TF41" s="771"/>
      <c r="TG41" s="771"/>
      <c r="TH41" s="771"/>
      <c r="TI41" s="771"/>
      <c r="TJ41" s="771"/>
      <c r="TK41" s="771"/>
      <c r="TL41" s="771"/>
      <c r="TM41" s="771"/>
      <c r="TN41" s="771"/>
      <c r="TO41" s="771"/>
      <c r="TP41" s="771"/>
      <c r="TQ41" s="771"/>
      <c r="TR41" s="771"/>
      <c r="TS41" s="771"/>
      <c r="TT41" s="771"/>
      <c r="TU41" s="771"/>
      <c r="TV41" s="771"/>
      <c r="TW41" s="771"/>
      <c r="TX41" s="771"/>
      <c r="TY41" s="771"/>
      <c r="TZ41" s="771"/>
      <c r="UA41" s="771"/>
      <c r="UB41" s="771"/>
      <c r="UC41" s="771"/>
      <c r="UD41" s="771"/>
      <c r="UE41" s="771"/>
      <c r="UF41" s="771"/>
      <c r="UG41" s="771"/>
      <c r="UH41" s="771"/>
      <c r="UI41" s="771"/>
      <c r="UJ41" s="771"/>
      <c r="UK41" s="771"/>
      <c r="UL41" s="771"/>
      <c r="UM41" s="771"/>
      <c r="UN41" s="771"/>
      <c r="UO41" s="771"/>
      <c r="UP41" s="771"/>
      <c r="UQ41" s="771"/>
      <c r="UR41" s="771"/>
      <c r="US41" s="771"/>
      <c r="UT41" s="771"/>
      <c r="UU41" s="771"/>
      <c r="UV41" s="771"/>
      <c r="UW41" s="771"/>
      <c r="UX41" s="771"/>
      <c r="UY41" s="771"/>
      <c r="UZ41" s="771"/>
      <c r="VA41" s="771"/>
      <c r="VB41" s="771"/>
      <c r="VC41" s="771"/>
      <c r="VD41" s="771"/>
      <c r="VE41" s="771"/>
      <c r="VF41" s="771"/>
      <c r="VG41" s="771"/>
      <c r="VH41" s="771"/>
      <c r="VI41" s="771"/>
      <c r="VJ41" s="771"/>
      <c r="VK41" s="771"/>
      <c r="VL41" s="771"/>
      <c r="VM41" s="771"/>
      <c r="VN41" s="771"/>
      <c r="VO41" s="771"/>
      <c r="VP41" s="771"/>
      <c r="VQ41" s="771"/>
      <c r="VR41" s="771"/>
      <c r="VS41" s="771"/>
      <c r="VT41" s="771"/>
      <c r="VU41" s="771"/>
      <c r="VV41" s="771"/>
      <c r="VW41" s="771"/>
      <c r="VX41" s="771"/>
      <c r="VY41" s="771"/>
      <c r="VZ41" s="771"/>
      <c r="WA41" s="771"/>
      <c r="WB41" s="771"/>
      <c r="WC41" s="771"/>
      <c r="WD41" s="771"/>
      <c r="WE41" s="771"/>
      <c r="WF41" s="771"/>
      <c r="WG41" s="771"/>
      <c r="WH41" s="771"/>
      <c r="WI41" s="771"/>
      <c r="WJ41" s="771"/>
      <c r="WK41" s="771"/>
      <c r="WL41" s="771"/>
      <c r="WM41" s="771"/>
      <c r="WN41" s="771"/>
      <c r="WO41" s="771"/>
      <c r="WP41" s="771"/>
      <c r="WQ41" s="771"/>
      <c r="WR41" s="771"/>
      <c r="WS41" s="771"/>
      <c r="WT41" s="771"/>
      <c r="WU41" s="771"/>
      <c r="WV41" s="771"/>
      <c r="WW41" s="771"/>
      <c r="WX41" s="771"/>
      <c r="WY41" s="771"/>
      <c r="WZ41" s="771"/>
      <c r="XA41" s="771"/>
      <c r="XB41" s="771"/>
      <c r="XC41" s="771"/>
      <c r="XD41" s="771"/>
      <c r="XE41" s="771"/>
      <c r="XF41" s="771"/>
      <c r="XG41" s="771"/>
      <c r="XH41" s="771"/>
      <c r="XI41" s="771"/>
      <c r="XJ41" s="771"/>
      <c r="XK41" s="771"/>
      <c r="XL41" s="771"/>
      <c r="XM41" s="771"/>
      <c r="XN41" s="771"/>
      <c r="XO41" s="771"/>
      <c r="XP41" s="771"/>
      <c r="XQ41" s="771"/>
      <c r="XR41" s="771"/>
      <c r="XS41" s="771"/>
      <c r="XT41" s="771"/>
      <c r="XU41" s="771"/>
      <c r="XV41" s="771"/>
      <c r="XW41" s="771"/>
      <c r="XX41" s="771"/>
      <c r="XY41" s="771"/>
      <c r="XZ41" s="771"/>
      <c r="YA41" s="771"/>
      <c r="YB41" s="771"/>
      <c r="YC41" s="771"/>
      <c r="YD41" s="771"/>
      <c r="YE41" s="771"/>
      <c r="YF41" s="771"/>
      <c r="YG41" s="771"/>
      <c r="YH41" s="771"/>
      <c r="YI41" s="771"/>
      <c r="YJ41" s="771"/>
      <c r="YK41" s="771"/>
      <c r="YL41" s="771"/>
      <c r="YM41" s="771"/>
      <c r="YN41" s="771"/>
      <c r="YO41" s="771"/>
      <c r="YP41" s="771"/>
      <c r="YQ41" s="771"/>
      <c r="YR41" s="771"/>
      <c r="YS41" s="771"/>
      <c r="YT41" s="771"/>
      <c r="YU41" s="771"/>
      <c r="YV41" s="771"/>
      <c r="YW41" s="771"/>
      <c r="YX41" s="771"/>
      <c r="YY41" s="771"/>
      <c r="YZ41" s="771"/>
      <c r="ZA41" s="771"/>
      <c r="ZB41" s="771"/>
      <c r="ZC41" s="771"/>
      <c r="ZD41" s="771"/>
      <c r="ZE41" s="771"/>
      <c r="ZF41" s="771"/>
      <c r="ZG41" s="771"/>
      <c r="ZH41" s="771"/>
      <c r="ZI41" s="771"/>
      <c r="ZJ41" s="771"/>
      <c r="ZK41" s="771"/>
      <c r="ZL41" s="771"/>
      <c r="ZM41" s="771"/>
      <c r="ZN41" s="771"/>
      <c r="ZO41" s="771"/>
      <c r="ZP41" s="771"/>
      <c r="ZQ41" s="771"/>
      <c r="ZR41" s="771"/>
      <c r="ZS41" s="771"/>
      <c r="ZT41" s="771"/>
      <c r="ZU41" s="771"/>
      <c r="ZV41" s="771"/>
      <c r="ZW41" s="771"/>
      <c r="ZX41" s="771"/>
      <c r="ZY41" s="771"/>
      <c r="ZZ41" s="771"/>
      <c r="AAA41" s="771"/>
      <c r="AAB41" s="771"/>
      <c r="AAC41" s="771"/>
      <c r="AAD41" s="771"/>
      <c r="AAE41" s="771"/>
      <c r="AAF41" s="771"/>
      <c r="AAG41" s="771"/>
      <c r="AAH41" s="771"/>
      <c r="AAI41" s="771"/>
      <c r="AAJ41" s="771"/>
      <c r="AAK41" s="771"/>
      <c r="AAL41" s="771"/>
      <c r="AAM41" s="771"/>
      <c r="AAN41" s="771"/>
      <c r="AAO41" s="771"/>
      <c r="AAP41" s="771"/>
      <c r="AAQ41" s="771"/>
      <c r="AAR41" s="771"/>
      <c r="AAS41" s="771"/>
      <c r="AAT41" s="771"/>
      <c r="AAU41" s="771"/>
      <c r="AAV41" s="771"/>
      <c r="AAW41" s="771"/>
      <c r="AAX41" s="771"/>
      <c r="AAY41" s="771"/>
      <c r="AAZ41" s="771"/>
      <c r="ABA41" s="771"/>
      <c r="ABB41" s="771"/>
      <c r="ABC41" s="771"/>
      <c r="ABD41" s="771"/>
      <c r="ABE41" s="771"/>
      <c r="ABF41" s="771"/>
      <c r="ABG41" s="771"/>
      <c r="ABH41" s="771"/>
      <c r="ABI41" s="771"/>
      <c r="ABJ41" s="771"/>
      <c r="ABK41" s="771"/>
      <c r="ABL41" s="771"/>
      <c r="ABM41" s="771"/>
      <c r="ABN41" s="771"/>
      <c r="ABO41" s="771"/>
      <c r="ABP41" s="771"/>
      <c r="ABQ41" s="771"/>
      <c r="ABR41" s="771"/>
      <c r="ABS41" s="771"/>
      <c r="ABT41" s="771"/>
      <c r="ABU41" s="771"/>
      <c r="ABV41" s="771"/>
      <c r="ABW41" s="771"/>
      <c r="ABX41" s="771"/>
      <c r="ABY41" s="771"/>
      <c r="ABZ41" s="771"/>
      <c r="ACA41" s="771"/>
      <c r="ACB41" s="771"/>
      <c r="ACC41" s="771"/>
      <c r="ACD41" s="771"/>
      <c r="ACE41" s="771"/>
      <c r="ACF41" s="771"/>
      <c r="ACG41" s="771"/>
      <c r="ACH41" s="771"/>
      <c r="ACI41" s="771"/>
      <c r="ACJ41" s="771"/>
      <c r="ACK41" s="771"/>
      <c r="ACL41" s="771"/>
      <c r="ACM41" s="771"/>
      <c r="ACN41" s="771"/>
      <c r="ACO41" s="771"/>
      <c r="ACP41" s="771"/>
      <c r="ACQ41" s="771"/>
      <c r="ACR41" s="771"/>
      <c r="ACS41" s="771"/>
      <c r="ACT41" s="771"/>
      <c r="ACU41" s="771"/>
    </row>
    <row r="42" spans="1:775" x14ac:dyDescent="0.35">
      <c r="B42" s="764" t="s">
        <v>89</v>
      </c>
    </row>
  </sheetData>
  <mergeCells count="631">
    <mergeCell ref="ACT6:ACT7"/>
    <mergeCell ref="ACU6:ACU7"/>
    <mergeCell ref="B32:IX32"/>
    <mergeCell ref="ACL6:ACL7"/>
    <mergeCell ref="ACN6:ACN7"/>
    <mergeCell ref="ACP6:ACP7"/>
    <mergeCell ref="ACQ6:ACQ7"/>
    <mergeCell ref="ACR6:ACR7"/>
    <mergeCell ref="ACS6:ACS7"/>
    <mergeCell ref="ACB6:ACB7"/>
    <mergeCell ref="ACD6:ACD7"/>
    <mergeCell ref="ACE6:ACE7"/>
    <mergeCell ref="ACF6:ACF7"/>
    <mergeCell ref="ACG6:ACG7"/>
    <mergeCell ref="ACH6:ACK6"/>
    <mergeCell ref="ABT6:ABT7"/>
    <mergeCell ref="ABU6:ABU7"/>
    <mergeCell ref="ABV6:ABV7"/>
    <mergeCell ref="ABW6:ABW7"/>
    <mergeCell ref="ABX6:ABZ6"/>
    <mergeCell ref="ACA6:ACA7"/>
    <mergeCell ref="ABK6:ABK7"/>
    <mergeCell ref="ABL6:ABL7"/>
    <mergeCell ref="ABM6:ABM7"/>
    <mergeCell ref="ABN6:ABP6"/>
    <mergeCell ref="ABQ6:ABQ7"/>
    <mergeCell ref="ABR6:ABR7"/>
    <mergeCell ref="ABB6:ABB7"/>
    <mergeCell ref="ABC6:ABC7"/>
    <mergeCell ref="ABD6:ABF6"/>
    <mergeCell ref="ABG6:ABG7"/>
    <mergeCell ref="ABH6:ABH7"/>
    <mergeCell ref="ABJ6:ABJ7"/>
    <mergeCell ref="AAR6:AAR7"/>
    <mergeCell ref="AAS6:AAU6"/>
    <mergeCell ref="AAV6:AAV7"/>
    <mergeCell ref="AAW6:AAW7"/>
    <mergeCell ref="AAZ6:AAZ7"/>
    <mergeCell ref="ABA6:ABA7"/>
    <mergeCell ref="AAL6:AAL7"/>
    <mergeCell ref="AAM6:AAM7"/>
    <mergeCell ref="AAN6:AAN7"/>
    <mergeCell ref="AAO6:AAO7"/>
    <mergeCell ref="AAP6:AAP7"/>
    <mergeCell ref="AAQ6:AAQ7"/>
    <mergeCell ref="AAB6:AAB7"/>
    <mergeCell ref="AAC6:AAC7"/>
    <mergeCell ref="AAD6:AAD7"/>
    <mergeCell ref="AAE6:AAH6"/>
    <mergeCell ref="AAI6:AAI7"/>
    <mergeCell ref="AAK6:AAK7"/>
    <mergeCell ref="ZS6:ZS7"/>
    <mergeCell ref="ZT6:ZT7"/>
    <mergeCell ref="ZU6:ZW6"/>
    <mergeCell ref="ZX6:ZX7"/>
    <mergeCell ref="ZY6:ZY7"/>
    <mergeCell ref="AAA6:AAA7"/>
    <mergeCell ref="ZJ6:ZJ7"/>
    <mergeCell ref="ZK6:ZM6"/>
    <mergeCell ref="ZN6:ZN7"/>
    <mergeCell ref="ZO6:ZO7"/>
    <mergeCell ref="ZQ6:ZQ7"/>
    <mergeCell ref="ZR6:ZR7"/>
    <mergeCell ref="ZA6:ZC6"/>
    <mergeCell ref="ZD6:ZD7"/>
    <mergeCell ref="ZE6:ZE7"/>
    <mergeCell ref="ZG6:ZG7"/>
    <mergeCell ref="ZH6:ZH7"/>
    <mergeCell ref="ZI6:ZI7"/>
    <mergeCell ref="YT6:YT7"/>
    <mergeCell ref="YU6:YU7"/>
    <mergeCell ref="YW6:YW7"/>
    <mergeCell ref="YX6:YX7"/>
    <mergeCell ref="YY6:YY7"/>
    <mergeCell ref="YZ6:YZ7"/>
    <mergeCell ref="YK6:YK7"/>
    <mergeCell ref="YM6:YM7"/>
    <mergeCell ref="YN6:YN7"/>
    <mergeCell ref="YO6:YO7"/>
    <mergeCell ref="YP6:YP7"/>
    <mergeCell ref="YQ6:YS6"/>
    <mergeCell ref="YA6:YA7"/>
    <mergeCell ref="YB6:YE6"/>
    <mergeCell ref="YF6:YF7"/>
    <mergeCell ref="YH6:YH7"/>
    <mergeCell ref="YI6:YI7"/>
    <mergeCell ref="YJ6:YJ7"/>
    <mergeCell ref="XR6:XT6"/>
    <mergeCell ref="XU6:XU7"/>
    <mergeCell ref="XV6:XV7"/>
    <mergeCell ref="XX6:XX7"/>
    <mergeCell ref="XY6:XY7"/>
    <mergeCell ref="XZ6:XZ7"/>
    <mergeCell ref="XK6:XK7"/>
    <mergeCell ref="XL6:XL7"/>
    <mergeCell ref="XN6:XN7"/>
    <mergeCell ref="XO6:XO7"/>
    <mergeCell ref="XP6:XP7"/>
    <mergeCell ref="XQ6:XQ7"/>
    <mergeCell ref="XB6:XB7"/>
    <mergeCell ref="XD6:XD7"/>
    <mergeCell ref="XE6:XE7"/>
    <mergeCell ref="XF6:XF7"/>
    <mergeCell ref="XG6:XG7"/>
    <mergeCell ref="XH6:XJ6"/>
    <mergeCell ref="WT6:WT7"/>
    <mergeCell ref="WU6:WU7"/>
    <mergeCell ref="WV6:WV7"/>
    <mergeCell ref="WW6:WW7"/>
    <mergeCell ref="WX6:WZ6"/>
    <mergeCell ref="XA6:XA7"/>
    <mergeCell ref="WK6:WK7"/>
    <mergeCell ref="WL6:WL7"/>
    <mergeCell ref="WM6:WM7"/>
    <mergeCell ref="WN6:WP6"/>
    <mergeCell ref="WQ6:WQ7"/>
    <mergeCell ref="WR6:WR7"/>
    <mergeCell ref="WD6:WD7"/>
    <mergeCell ref="WE6:WE7"/>
    <mergeCell ref="WF6:WF7"/>
    <mergeCell ref="WG6:WG7"/>
    <mergeCell ref="WI6:WI7"/>
    <mergeCell ref="WJ6:WJ7"/>
    <mergeCell ref="VT6:VT7"/>
    <mergeCell ref="VU6:VU7"/>
    <mergeCell ref="VV6:VV7"/>
    <mergeCell ref="VW6:VW7"/>
    <mergeCell ref="VX6:WA6"/>
    <mergeCell ref="WB6:WB7"/>
    <mergeCell ref="VK6:VK7"/>
    <mergeCell ref="VL6:VL7"/>
    <mergeCell ref="VM6:VM7"/>
    <mergeCell ref="VN6:VP6"/>
    <mergeCell ref="VQ6:VQ7"/>
    <mergeCell ref="VR6:VR7"/>
    <mergeCell ref="VB6:VB7"/>
    <mergeCell ref="VC6:VC7"/>
    <mergeCell ref="VD6:VF6"/>
    <mergeCell ref="VG6:VG7"/>
    <mergeCell ref="VH6:VH7"/>
    <mergeCell ref="VJ6:VJ7"/>
    <mergeCell ref="US6:US7"/>
    <mergeCell ref="UT6:UV6"/>
    <mergeCell ref="UW6:UW7"/>
    <mergeCell ref="UX6:UX7"/>
    <mergeCell ref="UZ6:UZ7"/>
    <mergeCell ref="VA6:VA7"/>
    <mergeCell ref="UJ6:UL6"/>
    <mergeCell ref="UM6:UM7"/>
    <mergeCell ref="UN6:UN7"/>
    <mergeCell ref="UP6:UP7"/>
    <mergeCell ref="UQ6:UQ7"/>
    <mergeCell ref="UR6:UR7"/>
    <mergeCell ref="UC6:UC7"/>
    <mergeCell ref="UE6:UE7"/>
    <mergeCell ref="UF6:UF7"/>
    <mergeCell ref="UG6:UG7"/>
    <mergeCell ref="UH6:UH7"/>
    <mergeCell ref="UI6:UI7"/>
    <mergeCell ref="TS6:TS7"/>
    <mergeCell ref="TT6:TW6"/>
    <mergeCell ref="TX6:TX7"/>
    <mergeCell ref="TZ6:TZ7"/>
    <mergeCell ref="UA6:UA7"/>
    <mergeCell ref="UB6:UB7"/>
    <mergeCell ref="TJ6:TL6"/>
    <mergeCell ref="TM6:TM7"/>
    <mergeCell ref="TN6:TN7"/>
    <mergeCell ref="TP6:TP7"/>
    <mergeCell ref="TQ6:TQ7"/>
    <mergeCell ref="TR6:TR7"/>
    <mergeCell ref="TC6:TC7"/>
    <mergeCell ref="TD6:TD7"/>
    <mergeCell ref="TF6:TF7"/>
    <mergeCell ref="TG6:TG7"/>
    <mergeCell ref="TH6:TH7"/>
    <mergeCell ref="TI6:TI7"/>
    <mergeCell ref="ST6:ST7"/>
    <mergeCell ref="SV6:SV7"/>
    <mergeCell ref="SW6:SW7"/>
    <mergeCell ref="SX6:SX7"/>
    <mergeCell ref="SY6:SY7"/>
    <mergeCell ref="SZ6:TB6"/>
    <mergeCell ref="SL6:SL7"/>
    <mergeCell ref="SM6:SM7"/>
    <mergeCell ref="SN6:SN7"/>
    <mergeCell ref="SO6:SO7"/>
    <mergeCell ref="SP6:SR6"/>
    <mergeCell ref="SS6:SS7"/>
    <mergeCell ref="SC6:SC7"/>
    <mergeCell ref="SD6:SD7"/>
    <mergeCell ref="SE6:SE7"/>
    <mergeCell ref="SF6:SH6"/>
    <mergeCell ref="SI6:SI7"/>
    <mergeCell ref="SJ6:SJ7"/>
    <mergeCell ref="RV6:RV7"/>
    <mergeCell ref="RW6:RW7"/>
    <mergeCell ref="RX6:RX7"/>
    <mergeCell ref="RY6:RY7"/>
    <mergeCell ref="SA6:SA7"/>
    <mergeCell ref="SB6:SB7"/>
    <mergeCell ref="RN6:RN7"/>
    <mergeCell ref="RP6:RP7"/>
    <mergeCell ref="RQ6:RQ7"/>
    <mergeCell ref="RR6:RR7"/>
    <mergeCell ref="RS6:RS7"/>
    <mergeCell ref="RT6:RT7"/>
    <mergeCell ref="RD6:RD7"/>
    <mergeCell ref="RF6:RF7"/>
    <mergeCell ref="RG6:RG7"/>
    <mergeCell ref="RH6:RH7"/>
    <mergeCell ref="RI6:RI7"/>
    <mergeCell ref="RJ6:RM6"/>
    <mergeCell ref="QV6:QV7"/>
    <mergeCell ref="QW6:QW7"/>
    <mergeCell ref="QX6:QX7"/>
    <mergeCell ref="QY6:QY7"/>
    <mergeCell ref="QZ6:RB6"/>
    <mergeCell ref="RC6:RC7"/>
    <mergeCell ref="QM6:QM7"/>
    <mergeCell ref="QN6:QN7"/>
    <mergeCell ref="QO6:QO7"/>
    <mergeCell ref="QP6:QR6"/>
    <mergeCell ref="QS6:QS7"/>
    <mergeCell ref="QT6:QT7"/>
    <mergeCell ref="QD6:QD7"/>
    <mergeCell ref="QE6:QE7"/>
    <mergeCell ref="QF6:QH6"/>
    <mergeCell ref="QI6:QI7"/>
    <mergeCell ref="QJ6:QJ7"/>
    <mergeCell ref="QL6:QL7"/>
    <mergeCell ref="PU6:PU7"/>
    <mergeCell ref="PV6:PX6"/>
    <mergeCell ref="PY6:PY7"/>
    <mergeCell ref="PZ6:PZ7"/>
    <mergeCell ref="QB6:QB7"/>
    <mergeCell ref="QC6:QC7"/>
    <mergeCell ref="PN6:PN7"/>
    <mergeCell ref="PO6:PO7"/>
    <mergeCell ref="PQ6:PQ7"/>
    <mergeCell ref="PR6:PR7"/>
    <mergeCell ref="PS6:PS7"/>
    <mergeCell ref="PT6:PT7"/>
    <mergeCell ref="PD6:PD7"/>
    <mergeCell ref="PE6:PH6"/>
    <mergeCell ref="PI6:PI7"/>
    <mergeCell ref="PK6:PK7"/>
    <mergeCell ref="PL6:PL7"/>
    <mergeCell ref="PM6:PM7"/>
    <mergeCell ref="OU6:OW6"/>
    <mergeCell ref="OX6:OX7"/>
    <mergeCell ref="OY6:OY7"/>
    <mergeCell ref="PA6:PA7"/>
    <mergeCell ref="PB6:PB7"/>
    <mergeCell ref="PC6:PC7"/>
    <mergeCell ref="ON6:ON7"/>
    <mergeCell ref="OO6:OO7"/>
    <mergeCell ref="OQ6:OQ7"/>
    <mergeCell ref="OR6:OR7"/>
    <mergeCell ref="OS6:OS7"/>
    <mergeCell ref="OT6:OT7"/>
    <mergeCell ref="OE6:OE7"/>
    <mergeCell ref="OG6:OG7"/>
    <mergeCell ref="OH6:OH7"/>
    <mergeCell ref="OI6:OI7"/>
    <mergeCell ref="OJ6:OJ7"/>
    <mergeCell ref="OK6:OM6"/>
    <mergeCell ref="NW6:NW7"/>
    <mergeCell ref="NX6:NX7"/>
    <mergeCell ref="NY6:NY7"/>
    <mergeCell ref="NZ6:NZ7"/>
    <mergeCell ref="OA6:OC6"/>
    <mergeCell ref="OD6:OD7"/>
    <mergeCell ref="NN6:NN7"/>
    <mergeCell ref="NO6:NO7"/>
    <mergeCell ref="NP6:NP7"/>
    <mergeCell ref="NQ6:NS6"/>
    <mergeCell ref="NT6:NT7"/>
    <mergeCell ref="NU6:NU7"/>
    <mergeCell ref="NG6:NG7"/>
    <mergeCell ref="NH6:NH7"/>
    <mergeCell ref="NI6:NI7"/>
    <mergeCell ref="NJ6:NJ7"/>
    <mergeCell ref="NL6:NL7"/>
    <mergeCell ref="NM6:NM7"/>
    <mergeCell ref="MW6:MW7"/>
    <mergeCell ref="MX6:MX7"/>
    <mergeCell ref="MY6:MY7"/>
    <mergeCell ref="MZ6:NC6"/>
    <mergeCell ref="ND6:ND7"/>
    <mergeCell ref="NF6:NF7"/>
    <mergeCell ref="MN6:MN7"/>
    <mergeCell ref="MO6:MO7"/>
    <mergeCell ref="MP6:MR6"/>
    <mergeCell ref="MS6:MS7"/>
    <mergeCell ref="MT6:MT7"/>
    <mergeCell ref="MV6:MV7"/>
    <mergeCell ref="ME6:ME7"/>
    <mergeCell ref="MF6:MH6"/>
    <mergeCell ref="MI6:MI7"/>
    <mergeCell ref="MJ6:MJ7"/>
    <mergeCell ref="ML6:ML7"/>
    <mergeCell ref="MM6:MM7"/>
    <mergeCell ref="LV6:LX6"/>
    <mergeCell ref="LY6:LY7"/>
    <mergeCell ref="LZ6:LZ7"/>
    <mergeCell ref="MB6:MB7"/>
    <mergeCell ref="MC6:MC7"/>
    <mergeCell ref="MD6:MD7"/>
    <mergeCell ref="LO6:LO7"/>
    <mergeCell ref="LP6:LP7"/>
    <mergeCell ref="LR6:LR7"/>
    <mergeCell ref="LS6:LS7"/>
    <mergeCell ref="LT6:LT7"/>
    <mergeCell ref="LU6:LU7"/>
    <mergeCell ref="LG6:LG7"/>
    <mergeCell ref="LH6:LH7"/>
    <mergeCell ref="LI6:LI7"/>
    <mergeCell ref="LJ6:LJ7"/>
    <mergeCell ref="LK6:LK7"/>
    <mergeCell ref="LL6:LN6"/>
    <mergeCell ref="KY6:KY7"/>
    <mergeCell ref="LA6:LA7"/>
    <mergeCell ref="LB6:LB7"/>
    <mergeCell ref="LC6:LC7"/>
    <mergeCell ref="LD6:LD7"/>
    <mergeCell ref="LE6:LE7"/>
    <mergeCell ref="KO6:KO7"/>
    <mergeCell ref="KQ6:KQ7"/>
    <mergeCell ref="KR6:KR7"/>
    <mergeCell ref="KS6:KS7"/>
    <mergeCell ref="KT6:KT7"/>
    <mergeCell ref="KU6:KX6"/>
    <mergeCell ref="KG6:KG7"/>
    <mergeCell ref="KH6:KH7"/>
    <mergeCell ref="KI6:KI7"/>
    <mergeCell ref="KJ6:KJ7"/>
    <mergeCell ref="KK6:KM6"/>
    <mergeCell ref="KN6:KN7"/>
    <mergeCell ref="JX6:JX7"/>
    <mergeCell ref="JY6:JY7"/>
    <mergeCell ref="JZ6:JZ7"/>
    <mergeCell ref="KA6:KC6"/>
    <mergeCell ref="KD6:KD7"/>
    <mergeCell ref="KE6:KE7"/>
    <mergeCell ref="JO6:JO7"/>
    <mergeCell ref="JP6:JP7"/>
    <mergeCell ref="JQ6:JS6"/>
    <mergeCell ref="JT6:JT7"/>
    <mergeCell ref="JU6:JU7"/>
    <mergeCell ref="JW6:JW7"/>
    <mergeCell ref="JF6:JF7"/>
    <mergeCell ref="JG6:JI6"/>
    <mergeCell ref="JJ6:JJ7"/>
    <mergeCell ref="JK6:JK7"/>
    <mergeCell ref="JM6:JM7"/>
    <mergeCell ref="JN6:JN7"/>
    <mergeCell ref="IY6:IY7"/>
    <mergeCell ref="IZ6:IZ7"/>
    <mergeCell ref="JB6:JB7"/>
    <mergeCell ref="JC6:JC7"/>
    <mergeCell ref="JD6:JD7"/>
    <mergeCell ref="JE6:JE7"/>
    <mergeCell ref="IR6:IR7"/>
    <mergeCell ref="IS6:IS7"/>
    <mergeCell ref="IT6:IT7"/>
    <mergeCell ref="IU6:IU7"/>
    <mergeCell ref="IW6:IW7"/>
    <mergeCell ref="IX6:IX7"/>
    <mergeCell ref="IH6:IH7"/>
    <mergeCell ref="II6:II7"/>
    <mergeCell ref="IJ6:IJ7"/>
    <mergeCell ref="IK6:IK7"/>
    <mergeCell ref="IL6:IO6"/>
    <mergeCell ref="IP6:IP7"/>
    <mergeCell ref="HY6:HY7"/>
    <mergeCell ref="HZ6:HZ7"/>
    <mergeCell ref="IA6:IA7"/>
    <mergeCell ref="IB6:ID6"/>
    <mergeCell ref="IE6:IE7"/>
    <mergeCell ref="IF6:IF7"/>
    <mergeCell ref="HP6:HP7"/>
    <mergeCell ref="HQ6:HQ7"/>
    <mergeCell ref="HR6:HT6"/>
    <mergeCell ref="HU6:HU7"/>
    <mergeCell ref="HV6:HV7"/>
    <mergeCell ref="HX6:HX7"/>
    <mergeCell ref="HG6:HG7"/>
    <mergeCell ref="HH6:HJ6"/>
    <mergeCell ref="HK6:HK7"/>
    <mergeCell ref="HL6:HL7"/>
    <mergeCell ref="HN6:HN7"/>
    <mergeCell ref="HO6:HO7"/>
    <mergeCell ref="GX6:GZ6"/>
    <mergeCell ref="HA6:HA7"/>
    <mergeCell ref="HB6:HB7"/>
    <mergeCell ref="HD6:HD7"/>
    <mergeCell ref="HE6:HE7"/>
    <mergeCell ref="HF6:HF7"/>
    <mergeCell ref="GR6:GR7"/>
    <mergeCell ref="GS6:GS7"/>
    <mergeCell ref="GT6:GT7"/>
    <mergeCell ref="GU6:GU7"/>
    <mergeCell ref="GV6:GV7"/>
    <mergeCell ref="GW6:GW7"/>
    <mergeCell ref="GI6:GI7"/>
    <mergeCell ref="GJ6:GJ7"/>
    <mergeCell ref="GK6:GM6"/>
    <mergeCell ref="GN6:GN7"/>
    <mergeCell ref="GP6:GP7"/>
    <mergeCell ref="GQ6:GQ7"/>
    <mergeCell ref="FZ6:FZ7"/>
    <mergeCell ref="GA6:GA7"/>
    <mergeCell ref="GB6:GD6"/>
    <mergeCell ref="GE6:GE7"/>
    <mergeCell ref="GG6:GG7"/>
    <mergeCell ref="GH6:GH7"/>
    <mergeCell ref="FQ6:FQ7"/>
    <mergeCell ref="FR6:FR7"/>
    <mergeCell ref="FS6:FU6"/>
    <mergeCell ref="FV6:FV7"/>
    <mergeCell ref="FX6:FX7"/>
    <mergeCell ref="FY6:FY7"/>
    <mergeCell ref="FH6:FH7"/>
    <mergeCell ref="FI6:FI7"/>
    <mergeCell ref="FJ6:FL6"/>
    <mergeCell ref="FM6:FM7"/>
    <mergeCell ref="FO6:FO7"/>
    <mergeCell ref="FP6:FP7"/>
    <mergeCell ref="EY6:EY7"/>
    <mergeCell ref="EZ6:EZ7"/>
    <mergeCell ref="FA6:FC6"/>
    <mergeCell ref="FD6:FD7"/>
    <mergeCell ref="FF6:FF7"/>
    <mergeCell ref="FG6:FG7"/>
    <mergeCell ref="ER6:ER7"/>
    <mergeCell ref="ES6:ES7"/>
    <mergeCell ref="ET6:ET7"/>
    <mergeCell ref="EU6:EU7"/>
    <mergeCell ref="EW6:EW7"/>
    <mergeCell ref="EX6:EX7"/>
    <mergeCell ref="EI6:EI7"/>
    <mergeCell ref="EJ6:EJ7"/>
    <mergeCell ref="EK6:EK7"/>
    <mergeCell ref="EL6:EL7"/>
    <mergeCell ref="EM6:EO6"/>
    <mergeCell ref="EP6:EP7"/>
    <mergeCell ref="DZ6:DZ7"/>
    <mergeCell ref="EA6:EA7"/>
    <mergeCell ref="EB6:EB7"/>
    <mergeCell ref="EC6:EC7"/>
    <mergeCell ref="ED6:EF6"/>
    <mergeCell ref="EG6:EG7"/>
    <mergeCell ref="DQ6:DQ7"/>
    <mergeCell ref="DR6:DR7"/>
    <mergeCell ref="DS6:DS7"/>
    <mergeCell ref="DT6:DT7"/>
    <mergeCell ref="DU6:DW6"/>
    <mergeCell ref="DX6:DX7"/>
    <mergeCell ref="DH6:DH7"/>
    <mergeCell ref="DI6:DI7"/>
    <mergeCell ref="DJ6:DJ7"/>
    <mergeCell ref="DK6:DK7"/>
    <mergeCell ref="DL6:DN6"/>
    <mergeCell ref="DO6:DO7"/>
    <mergeCell ref="CY6:CY7"/>
    <mergeCell ref="CZ6:CZ7"/>
    <mergeCell ref="DA6:DA7"/>
    <mergeCell ref="DB6:DB7"/>
    <mergeCell ref="DC6:DE6"/>
    <mergeCell ref="DF6:DF7"/>
    <mergeCell ref="CO6:CQ6"/>
    <mergeCell ref="CR6:CR7"/>
    <mergeCell ref="CT6:CT7"/>
    <mergeCell ref="CU6:CU7"/>
    <mergeCell ref="CV6:CV7"/>
    <mergeCell ref="CW6:CW7"/>
    <mergeCell ref="CF6:CH6"/>
    <mergeCell ref="CI6:CI7"/>
    <mergeCell ref="CK6:CK7"/>
    <mergeCell ref="CL6:CL7"/>
    <mergeCell ref="CM6:CM7"/>
    <mergeCell ref="CN6:CN7"/>
    <mergeCell ref="BW6:BY6"/>
    <mergeCell ref="BZ6:BZ7"/>
    <mergeCell ref="CB6:CB7"/>
    <mergeCell ref="CC6:CC7"/>
    <mergeCell ref="CD6:CD7"/>
    <mergeCell ref="CE6:CE7"/>
    <mergeCell ref="BN6:BP6"/>
    <mergeCell ref="BQ6:BQ7"/>
    <mergeCell ref="BS6:BS7"/>
    <mergeCell ref="BT6:BT7"/>
    <mergeCell ref="BU6:BU7"/>
    <mergeCell ref="BV6:BV7"/>
    <mergeCell ref="BE6:BG6"/>
    <mergeCell ref="BH6:BH7"/>
    <mergeCell ref="BJ6:BJ7"/>
    <mergeCell ref="BK6:BK7"/>
    <mergeCell ref="BL6:BL7"/>
    <mergeCell ref="BM6:BM7"/>
    <mergeCell ref="AX6:AX7"/>
    <mergeCell ref="AY6:AY7"/>
    <mergeCell ref="BA6:BA7"/>
    <mergeCell ref="BB6:BB7"/>
    <mergeCell ref="BC6:BC7"/>
    <mergeCell ref="BD6:BD7"/>
    <mergeCell ref="AO6:AO7"/>
    <mergeCell ref="AP6:AP7"/>
    <mergeCell ref="AQ6:AS6"/>
    <mergeCell ref="AT6:AT7"/>
    <mergeCell ref="AV6:AV7"/>
    <mergeCell ref="AW6:AW7"/>
    <mergeCell ref="AF6:AF7"/>
    <mergeCell ref="AG6:AG7"/>
    <mergeCell ref="AH6:AJ6"/>
    <mergeCell ref="AK6:AK7"/>
    <mergeCell ref="AM6:AM7"/>
    <mergeCell ref="AN6:AN7"/>
    <mergeCell ref="W6:W7"/>
    <mergeCell ref="X6:X7"/>
    <mergeCell ref="Y6:AA6"/>
    <mergeCell ref="AB6:AB7"/>
    <mergeCell ref="AD6:AD7"/>
    <mergeCell ref="AE6:AE7"/>
    <mergeCell ref="N6:N7"/>
    <mergeCell ref="O6:O7"/>
    <mergeCell ref="P6:R6"/>
    <mergeCell ref="S6:S7"/>
    <mergeCell ref="U6:U7"/>
    <mergeCell ref="V6:V7"/>
    <mergeCell ref="ACS5:ACU5"/>
    <mergeCell ref="A6:B7"/>
    <mergeCell ref="C6:C7"/>
    <mergeCell ref="D6:D7"/>
    <mergeCell ref="E6:E7"/>
    <mergeCell ref="F6:F7"/>
    <mergeCell ref="G6:I6"/>
    <mergeCell ref="J6:J7"/>
    <mergeCell ref="L6:L7"/>
    <mergeCell ref="M6:M7"/>
    <mergeCell ref="AAK5:AAM5"/>
    <mergeCell ref="AAZ5:ABI5"/>
    <mergeCell ref="ABJ5:ABS5"/>
    <mergeCell ref="ABT5:ACC5"/>
    <mergeCell ref="ACD5:ACM5"/>
    <mergeCell ref="ACP5:ACR5"/>
    <mergeCell ref="YH5:YK5"/>
    <mergeCell ref="YM5:YV5"/>
    <mergeCell ref="YW5:ZF5"/>
    <mergeCell ref="ZG5:ZP5"/>
    <mergeCell ref="ZQ5:ZZ5"/>
    <mergeCell ref="AAA5:AAJ5"/>
    <mergeCell ref="WD5:WG5"/>
    <mergeCell ref="WJ5:WS5"/>
    <mergeCell ref="WT5:XC5"/>
    <mergeCell ref="XD5:XM5"/>
    <mergeCell ref="XN5:XW5"/>
    <mergeCell ref="XX5:YG5"/>
    <mergeCell ref="TZ5:UC5"/>
    <mergeCell ref="UF5:UO5"/>
    <mergeCell ref="UP5:UY5"/>
    <mergeCell ref="UZ5:VI5"/>
    <mergeCell ref="VJ5:VS5"/>
    <mergeCell ref="VT5:WC5"/>
    <mergeCell ref="RV5:RY5"/>
    <mergeCell ref="SB5:SK5"/>
    <mergeCell ref="SL5:SU5"/>
    <mergeCell ref="SV5:TE5"/>
    <mergeCell ref="TF5:TO5"/>
    <mergeCell ref="TP5:TY5"/>
    <mergeCell ref="PR5:QA5"/>
    <mergeCell ref="QB5:QK5"/>
    <mergeCell ref="QL5:QU5"/>
    <mergeCell ref="QV5:RE5"/>
    <mergeCell ref="RF5:RO5"/>
    <mergeCell ref="RP5:RT5"/>
    <mergeCell ref="NM5:NV5"/>
    <mergeCell ref="NW5:OF5"/>
    <mergeCell ref="OG5:OP5"/>
    <mergeCell ref="OQ5:OZ5"/>
    <mergeCell ref="PA5:PJ5"/>
    <mergeCell ref="PK5:PO5"/>
    <mergeCell ref="LH5:LQ5"/>
    <mergeCell ref="LR5:MA5"/>
    <mergeCell ref="MB5:MK5"/>
    <mergeCell ref="ML5:MU5"/>
    <mergeCell ref="MV5:NE5"/>
    <mergeCell ref="NF5:NJ5"/>
    <mergeCell ref="JC5:JL5"/>
    <mergeCell ref="JM5:JV5"/>
    <mergeCell ref="JW5:KF5"/>
    <mergeCell ref="KG5:KP5"/>
    <mergeCell ref="KQ5:KZ5"/>
    <mergeCell ref="LA5:LE5"/>
    <mergeCell ref="HD5:HM5"/>
    <mergeCell ref="HN5:HW5"/>
    <mergeCell ref="HX5:IG5"/>
    <mergeCell ref="IH5:IQ5"/>
    <mergeCell ref="IR5:IU5"/>
    <mergeCell ref="IW5:IZ5"/>
    <mergeCell ref="FF5:FN5"/>
    <mergeCell ref="FO5:FW5"/>
    <mergeCell ref="FX5:GF5"/>
    <mergeCell ref="GG5:GO5"/>
    <mergeCell ref="GP5:GS5"/>
    <mergeCell ref="GT5:HC5"/>
    <mergeCell ref="A2:ACU2"/>
    <mergeCell ref="A41:ACU41"/>
    <mergeCell ref="A4:H4"/>
    <mergeCell ref="AV4:CW4"/>
    <mergeCell ref="A5:B5"/>
    <mergeCell ref="C5:K5"/>
    <mergeCell ref="L5:T5"/>
    <mergeCell ref="U5:AC5"/>
    <mergeCell ref="AD5:AL5"/>
    <mergeCell ref="AM5:AU5"/>
    <mergeCell ref="AV5:AY5"/>
    <mergeCell ref="BA5:BI5"/>
    <mergeCell ref="DH5:DP5"/>
    <mergeCell ref="DQ5:DY5"/>
    <mergeCell ref="DZ5:EH5"/>
    <mergeCell ref="EI5:EQ5"/>
    <mergeCell ref="ER5:EU5"/>
    <mergeCell ref="EW5:FE5"/>
    <mergeCell ref="BJ5:BR5"/>
    <mergeCell ref="BS5:CA5"/>
    <mergeCell ref="CB5:CJ5"/>
    <mergeCell ref="CK5:CS5"/>
    <mergeCell ref="CT5:CW5"/>
    <mergeCell ref="CY5:D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F4B2000D6F94A8B573DE31E29ADC0" ma:contentTypeVersion="10" ma:contentTypeDescription="Create a new document." ma:contentTypeScope="" ma:versionID="b1601aa1360d38fc3a767fadc38d85be">
  <xsd:schema xmlns:xsd="http://www.w3.org/2001/XMLSchema" xmlns:xs="http://www.w3.org/2001/XMLSchema" xmlns:p="http://schemas.microsoft.com/office/2006/metadata/properties" xmlns:ns2="c714058f-4a6e-4e5a-8e7b-04766cc098e5" xmlns:ns3="5b4b86c5-475f-485b-ac30-381e64ef08ac" targetNamespace="http://schemas.microsoft.com/office/2006/metadata/properties" ma:root="true" ma:fieldsID="ac80bb8b28be64f247116f7ec8e30c6f" ns2:_="" ns3:_="">
    <xsd:import namespace="c714058f-4a6e-4e5a-8e7b-04766cc098e5"/>
    <xsd:import namespace="5b4b86c5-475f-485b-ac30-381e64ef08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058f-4a6e-4e5a-8e7b-04766cc098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b86c5-475f-485b-ac30-381e64ef0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04C351-A449-409B-AFA9-B0F127FA0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058f-4a6e-4e5a-8e7b-04766cc098e5"/>
    <ds:schemaRef ds:uri="5b4b86c5-475f-485b-ac30-381e64ef0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A8363-D66B-4DDB-8FFD-B339EE3BAA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D1FE6-AB62-4FA1-BA1C-4D48E51075D4}">
  <ds:schemaRefs>
    <ds:schemaRef ds:uri="http://purl.org/dc/terms/"/>
    <ds:schemaRef ds:uri="http://schemas.openxmlformats.org/package/2006/metadata/core-properties"/>
    <ds:schemaRef ds:uri="5b4b86c5-475f-485b-ac30-381e64ef08a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714058f-4a6e-4e5a-8e7b-04766cc098e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Hastings, Maryann</dc:creator>
  <cp:lastModifiedBy>Betty Hintch</cp:lastModifiedBy>
  <dcterms:created xsi:type="dcterms:W3CDTF">2018-08-22T14:07:55Z</dcterms:created>
  <dcterms:modified xsi:type="dcterms:W3CDTF">2018-10-03T19:31:24Z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0x010100E42F4B2000D6F94A8B573DE31E29ADC0</vt:lpwstr>
  </property>
</Properties>
</file>